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ADEMIC_ADMINISTRATION\Annual Planning Exercises\2022-23\"/>
    </mc:Choice>
  </mc:AlternateContent>
  <xr:revisionPtr revIDLastSave="0" documentId="13_ncr:1_{2DF77803-3F2A-4194-A186-C11912636AD4}" xr6:coauthVersionLast="47" xr6:coauthVersionMax="47" xr10:uidLastSave="{00000000-0000-0000-0000-000000000000}"/>
  <bookViews>
    <workbookView xWindow="-120" yWindow="-120" windowWidth="29040" windowHeight="15840" tabRatio="602" activeTab="1" xr2:uid="{00000000-000D-0000-FFFF-FFFF00000000}"/>
  </bookViews>
  <sheets>
    <sheet name="1. Courses" sheetId="9" r:id="rId1"/>
    <sheet name="2. Appointments" sheetId="8" r:id="rId2"/>
    <sheet name="3. Notes" sheetId="5" r:id="rId3"/>
    <sheet name="4. Summary" sheetId="10" r:id="rId4"/>
    <sheet name="5. Calculations" sheetId="12" r:id="rId5"/>
    <sheet name="_56F9DC9755BA473782653E2940F9" sheetId="2" state="veryHidden" r:id="rId6"/>
  </sheets>
  <definedNames>
    <definedName name="DeptName">'1. Courses'!$B$4</definedName>
    <definedName name="DropCourse">OFFSET(Courses[[#Headers],[Course Number &amp; Name]],1,0,MATCH("zzzzz",Courses[Course Number &amp; Name],1),1)</definedName>
    <definedName name="_xlnm.Print_Area" localSheetId="0">'1. Courses'!$A$1:$G$15</definedName>
    <definedName name="_xlnm.Print_Area" localSheetId="1">'2. Appointments'!$A$1:$J$25</definedName>
    <definedName name="_xlnm.Print_Area" localSheetId="2">'3. Notes'!$A$1:$A$5</definedName>
    <definedName name="TARate">'2. Appointments'!$B$3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G12" i="8"/>
  <c r="H12" i="8" s="1"/>
  <c r="I12" i="8"/>
  <c r="J12" i="8" s="1"/>
  <c r="G13" i="8"/>
  <c r="H13" i="8" s="1"/>
  <c r="I13" i="8"/>
  <c r="J13" i="8" s="1"/>
  <c r="G14" i="8"/>
  <c r="H14" i="8" s="1"/>
  <c r="I14" i="8"/>
  <c r="J14" i="8" s="1"/>
  <c r="G15" i="8"/>
  <c r="H15" i="8" s="1"/>
  <c r="I15" i="8"/>
  <c r="J15" i="8" s="1"/>
  <c r="G16" i="8"/>
  <c r="H16" i="8" s="1"/>
  <c r="I16" i="8"/>
  <c r="J16" i="8" s="1"/>
  <c r="A11" i="10" l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C17" i="8"/>
  <c r="I7" i="8"/>
  <c r="J7" i="8" s="1"/>
  <c r="I8" i="8"/>
  <c r="J8" i="8" s="1"/>
  <c r="I9" i="8"/>
  <c r="J9" i="8" s="1"/>
  <c r="I10" i="8"/>
  <c r="J10" i="8" s="1"/>
  <c r="I11" i="8"/>
  <c r="J11" i="8" s="1"/>
  <c r="G7" i="8"/>
  <c r="H7" i="8" s="1"/>
  <c r="G8" i="8"/>
  <c r="H8" i="8" s="1"/>
  <c r="G9" i="8"/>
  <c r="H9" i="8" s="1"/>
  <c r="G10" i="8"/>
  <c r="H10" i="8" s="1"/>
  <c r="G11" i="8"/>
  <c r="H11" i="8" s="1"/>
  <c r="G6" i="10"/>
  <c r="F6" i="10"/>
  <c r="C79" i="10" l="1"/>
  <c r="E79" i="10" s="1"/>
  <c r="C92" i="10"/>
  <c r="E92" i="10" s="1"/>
  <c r="B78" i="10"/>
  <c r="D78" i="10" s="1"/>
  <c r="H17" i="8"/>
  <c r="I17" i="8"/>
  <c r="B92" i="10"/>
  <c r="D92" i="10" s="1"/>
  <c r="F92" i="10"/>
  <c r="G17" i="8"/>
  <c r="C78" i="10"/>
  <c r="E78" i="10" s="1"/>
  <c r="F79" i="10"/>
  <c r="B79" i="10"/>
  <c r="D79" i="10" s="1"/>
  <c r="F78" i="10"/>
  <c r="B91" i="10" l="1"/>
  <c r="D91" i="10" s="1"/>
  <c r="B90" i="10"/>
  <c r="D90" i="10" s="1"/>
  <c r="B89" i="10"/>
  <c r="D89" i="10" s="1"/>
  <c r="B88" i="10"/>
  <c r="D88" i="10" s="1"/>
  <c r="B87" i="10"/>
  <c r="D87" i="10" s="1"/>
  <c r="B86" i="10"/>
  <c r="D86" i="10" s="1"/>
  <c r="B85" i="10"/>
  <c r="D85" i="10" s="1"/>
  <c r="B84" i="10"/>
  <c r="D84" i="10" s="1"/>
  <c r="B83" i="10"/>
  <c r="D83" i="10" s="1"/>
  <c r="B82" i="10"/>
  <c r="D82" i="10" s="1"/>
  <c r="B81" i="10"/>
  <c r="D81" i="10" s="1"/>
  <c r="B80" i="10"/>
  <c r="D80" i="10" s="1"/>
  <c r="B77" i="10"/>
  <c r="D77" i="10" s="1"/>
  <c r="B76" i="10"/>
  <c r="D76" i="10" s="1"/>
  <c r="B75" i="10"/>
  <c r="D75" i="10" s="1"/>
  <c r="B74" i="10"/>
  <c r="D74" i="10" s="1"/>
  <c r="B73" i="10"/>
  <c r="D73" i="10" s="1"/>
  <c r="B72" i="10"/>
  <c r="D72" i="10" s="1"/>
  <c r="B71" i="10"/>
  <c r="D71" i="10" s="1"/>
  <c r="B70" i="10"/>
  <c r="D70" i="10" s="1"/>
  <c r="B69" i="10"/>
  <c r="D69" i="10" s="1"/>
  <c r="B68" i="10"/>
  <c r="D68" i="10" s="1"/>
  <c r="B67" i="10"/>
  <c r="D67" i="10" s="1"/>
  <c r="B66" i="10"/>
  <c r="D66" i="10" s="1"/>
  <c r="C65" i="10"/>
  <c r="E65" i="10" s="1"/>
  <c r="B64" i="10"/>
  <c r="D64" i="10" s="1"/>
  <c r="B63" i="10"/>
  <c r="D63" i="10" s="1"/>
  <c r="B62" i="10"/>
  <c r="D62" i="10" s="1"/>
  <c r="B61" i="10"/>
  <c r="D61" i="10" s="1"/>
  <c r="B60" i="10"/>
  <c r="D60" i="10" s="1"/>
  <c r="B59" i="10"/>
  <c r="D59" i="10" s="1"/>
  <c r="B58" i="10"/>
  <c r="D58" i="10" s="1"/>
  <c r="B57" i="10"/>
  <c r="D57" i="10" s="1"/>
  <c r="B56" i="10"/>
  <c r="D56" i="10" s="1"/>
  <c r="C55" i="10"/>
  <c r="E55" i="10" s="1"/>
  <c r="C54" i="10"/>
  <c r="E54" i="10" s="1"/>
  <c r="B53" i="10"/>
  <c r="D53" i="10" s="1"/>
  <c r="B52" i="10"/>
  <c r="D52" i="10" s="1"/>
  <c r="C51" i="10"/>
  <c r="E51" i="10" s="1"/>
  <c r="B50" i="10"/>
  <c r="D50" i="10" s="1"/>
  <c r="B49" i="10"/>
  <c r="D49" i="10" s="1"/>
  <c r="B48" i="10"/>
  <c r="D48" i="10" s="1"/>
  <c r="B47" i="10"/>
  <c r="D47" i="10" s="1"/>
  <c r="B46" i="10"/>
  <c r="D46" i="10" s="1"/>
  <c r="B45" i="10"/>
  <c r="D45" i="10" s="1"/>
  <c r="B44" i="10"/>
  <c r="D44" i="10" s="1"/>
  <c r="B43" i="10"/>
  <c r="D43" i="10" s="1"/>
  <c r="B42" i="10"/>
  <c r="D42" i="10" s="1"/>
  <c r="B41" i="10"/>
  <c r="D41" i="10" s="1"/>
  <c r="B40" i="10"/>
  <c r="D40" i="10" s="1"/>
  <c r="C90" i="10" l="1"/>
  <c r="E90" i="10" s="1"/>
  <c r="C91" i="10"/>
  <c r="E91" i="10" s="1"/>
  <c r="F91" i="10"/>
  <c r="F90" i="10"/>
  <c r="C89" i="10"/>
  <c r="E89" i="10" s="1"/>
  <c r="F89" i="10"/>
  <c r="C81" i="10"/>
  <c r="E81" i="10" s="1"/>
  <c r="C88" i="10"/>
  <c r="E88" i="10" s="1"/>
  <c r="F88" i="10"/>
  <c r="C87" i="10"/>
  <c r="E87" i="10" s="1"/>
  <c r="F87" i="10"/>
  <c r="C86" i="10"/>
  <c r="E86" i="10" s="1"/>
  <c r="F86" i="10"/>
  <c r="C85" i="10"/>
  <c r="E85" i="10" s="1"/>
  <c r="F85" i="10"/>
  <c r="C84" i="10"/>
  <c r="E84" i="10" s="1"/>
  <c r="F84" i="10"/>
  <c r="C83" i="10"/>
  <c r="E83" i="10" s="1"/>
  <c r="F83" i="10"/>
  <c r="C82" i="10"/>
  <c r="E82" i="10" s="1"/>
  <c r="F82" i="10"/>
  <c r="F81" i="10"/>
  <c r="C80" i="10"/>
  <c r="E80" i="10" s="1"/>
  <c r="F80" i="10"/>
  <c r="F70" i="10"/>
  <c r="C77" i="10"/>
  <c r="E77" i="10" s="1"/>
  <c r="F77" i="10"/>
  <c r="C76" i="10"/>
  <c r="E76" i="10" s="1"/>
  <c r="F76" i="10"/>
  <c r="C75" i="10"/>
  <c r="E75" i="10" s="1"/>
  <c r="F75" i="10"/>
  <c r="C74" i="10"/>
  <c r="E74" i="10" s="1"/>
  <c r="F74" i="10"/>
  <c r="C73" i="10"/>
  <c r="E73" i="10" s="1"/>
  <c r="F73" i="10"/>
  <c r="C72" i="10"/>
  <c r="E72" i="10" s="1"/>
  <c r="F72" i="10"/>
  <c r="C70" i="10"/>
  <c r="E70" i="10" s="1"/>
  <c r="C71" i="10"/>
  <c r="E71" i="10" s="1"/>
  <c r="F71" i="10"/>
  <c r="C69" i="10"/>
  <c r="E69" i="10" s="1"/>
  <c r="F69" i="10"/>
  <c r="B65" i="10"/>
  <c r="D65" i="10" s="1"/>
  <c r="C68" i="10"/>
  <c r="E68" i="10" s="1"/>
  <c r="F68" i="10"/>
  <c r="C67" i="10"/>
  <c r="E67" i="10" s="1"/>
  <c r="F67" i="10"/>
  <c r="C66" i="10"/>
  <c r="E66" i="10" s="1"/>
  <c r="F66" i="10"/>
  <c r="F65" i="10"/>
  <c r="F54" i="10"/>
  <c r="C61" i="10"/>
  <c r="E61" i="10" s="1"/>
  <c r="C64" i="10"/>
  <c r="E64" i="10" s="1"/>
  <c r="F64" i="10"/>
  <c r="C63" i="10"/>
  <c r="E63" i="10" s="1"/>
  <c r="F63" i="10"/>
  <c r="C62" i="10"/>
  <c r="E62" i="10" s="1"/>
  <c r="F62" i="10"/>
  <c r="F61" i="10"/>
  <c r="C60" i="10"/>
  <c r="E60" i="10" s="1"/>
  <c r="F60" i="10"/>
  <c r="C59" i="10"/>
  <c r="E59" i="10" s="1"/>
  <c r="F59" i="10"/>
  <c r="C58" i="10"/>
  <c r="E58" i="10" s="1"/>
  <c r="F58" i="10"/>
  <c r="C57" i="10"/>
  <c r="E57" i="10" s="1"/>
  <c r="F57" i="10"/>
  <c r="C56" i="10"/>
  <c r="E56" i="10" s="1"/>
  <c r="F56" i="10"/>
  <c r="F55" i="10"/>
  <c r="B55" i="10"/>
  <c r="D55" i="10" s="1"/>
  <c r="B54" i="10"/>
  <c r="D54" i="10" s="1"/>
  <c r="C53" i="10"/>
  <c r="E53" i="10" s="1"/>
  <c r="F53" i="10"/>
  <c r="C52" i="10"/>
  <c r="E52" i="10" s="1"/>
  <c r="F52" i="10"/>
  <c r="B51" i="10"/>
  <c r="D51" i="10" s="1"/>
  <c r="F51" i="10"/>
  <c r="C50" i="10"/>
  <c r="E50" i="10" s="1"/>
  <c r="F50" i="10"/>
  <c r="C49" i="10"/>
  <c r="E49" i="10" s="1"/>
  <c r="F49" i="10"/>
  <c r="C48" i="10"/>
  <c r="E48" i="10" s="1"/>
  <c r="F48" i="10"/>
  <c r="C47" i="10"/>
  <c r="E47" i="10" s="1"/>
  <c r="F47" i="10"/>
  <c r="C46" i="10"/>
  <c r="E46" i="10" s="1"/>
  <c r="F46" i="10"/>
  <c r="C45" i="10"/>
  <c r="E45" i="10" s="1"/>
  <c r="F45" i="10"/>
  <c r="F44" i="10"/>
  <c r="C44" i="10"/>
  <c r="E44" i="10" s="1"/>
  <c r="C43" i="10"/>
  <c r="E43" i="10" s="1"/>
  <c r="F43" i="10"/>
  <c r="C42" i="10"/>
  <c r="E42" i="10" s="1"/>
  <c r="F42" i="10"/>
  <c r="C41" i="10"/>
  <c r="E41" i="10" s="1"/>
  <c r="F41" i="10"/>
  <c r="C40" i="10"/>
  <c r="E40" i="10" s="1"/>
  <c r="F40" i="10"/>
  <c r="F5" i="10" l="1"/>
  <c r="F7" i="10" s="1"/>
  <c r="F20" i="8"/>
  <c r="G5" i="10" l="1"/>
  <c r="G7" i="10" s="1"/>
  <c r="G78" i="10"/>
  <c r="G79" i="10"/>
  <c r="G92" i="10"/>
  <c r="G90" i="10"/>
  <c r="G70" i="10"/>
  <c r="G75" i="10"/>
  <c r="G69" i="10"/>
  <c r="G68" i="10"/>
  <c r="G63" i="10"/>
  <c r="G60" i="10"/>
  <c r="G53" i="10"/>
  <c r="G51" i="10"/>
  <c r="G49" i="10"/>
  <c r="G45" i="10"/>
  <c r="G44" i="10"/>
  <c r="G41" i="10"/>
  <c r="G40" i="10"/>
  <c r="G91" i="10"/>
  <c r="G87" i="10"/>
  <c r="G86" i="10"/>
  <c r="G80" i="10"/>
  <c r="G56" i="10"/>
  <c r="G89" i="10"/>
  <c r="G88" i="10"/>
  <c r="G84" i="10"/>
  <c r="G77" i="10"/>
  <c r="G73" i="10"/>
  <c r="G66" i="10"/>
  <c r="G65" i="10"/>
  <c r="G61" i="10"/>
  <c r="G58" i="10"/>
  <c r="G57" i="10"/>
  <c r="G55" i="10"/>
  <c r="G50" i="10"/>
  <c r="G47" i="10"/>
  <c r="G46" i="10"/>
  <c r="G43" i="10"/>
  <c r="G82" i="10"/>
  <c r="G72" i="10"/>
  <c r="G64" i="10"/>
  <c r="G54" i="10"/>
  <c r="G85" i="10"/>
  <c r="G81" i="10"/>
  <c r="G74" i="10"/>
  <c r="G67" i="10"/>
  <c r="G62" i="10"/>
  <c r="G59" i="10"/>
  <c r="G52" i="10"/>
  <c r="G48" i="10"/>
  <c r="G83" i="10"/>
  <c r="G76" i="10"/>
  <c r="G71" i="10"/>
  <c r="G42" i="10"/>
  <c r="B6" i="10"/>
  <c r="D6" i="10" s="1"/>
  <c r="B5" i="10"/>
  <c r="D5" i="10" s="1"/>
  <c r="C6" i="10"/>
  <c r="E6" i="10" s="1"/>
  <c r="D7" i="10" l="1"/>
  <c r="B7" i="10"/>
  <c r="C5" i="10"/>
  <c r="E5" i="10" s="1"/>
  <c r="E7" i="10" s="1"/>
  <c r="C7" i="10" l="1"/>
  <c r="A2" i="10"/>
  <c r="B21" i="8"/>
  <c r="B15" i="10" l="1"/>
  <c r="D15" i="10" s="1"/>
  <c r="G15" i="10"/>
  <c r="F15" i="10"/>
  <c r="B36" i="10"/>
  <c r="D36" i="10" s="1"/>
  <c r="F36" i="10"/>
  <c r="G36" i="10"/>
  <c r="B33" i="10"/>
  <c r="D33" i="10" s="1"/>
  <c r="F33" i="10"/>
  <c r="G33" i="10"/>
  <c r="B29" i="10"/>
  <c r="D29" i="10" s="1"/>
  <c r="F29" i="10"/>
  <c r="G29" i="10"/>
  <c r="B25" i="10"/>
  <c r="D25" i="10" s="1"/>
  <c r="F25" i="10"/>
  <c r="G25" i="10"/>
  <c r="B21" i="10"/>
  <c r="D21" i="10" s="1"/>
  <c r="F21" i="10"/>
  <c r="G21" i="10"/>
  <c r="B11" i="10"/>
  <c r="G11" i="10"/>
  <c r="F11" i="10"/>
  <c r="B14" i="10"/>
  <c r="D14" i="10" s="1"/>
  <c r="F14" i="10"/>
  <c r="G14" i="10"/>
  <c r="B39" i="10"/>
  <c r="D39" i="10" s="1"/>
  <c r="G39" i="10"/>
  <c r="F39" i="10"/>
  <c r="B35" i="10"/>
  <c r="D35" i="10" s="1"/>
  <c r="G35" i="10"/>
  <c r="F35" i="10"/>
  <c r="B32" i="10"/>
  <c r="D32" i="10" s="1"/>
  <c r="G32" i="10"/>
  <c r="F32" i="10"/>
  <c r="B28" i="10"/>
  <c r="D28" i="10" s="1"/>
  <c r="G28" i="10"/>
  <c r="F28" i="10"/>
  <c r="B24" i="10"/>
  <c r="D24" i="10" s="1"/>
  <c r="G24" i="10"/>
  <c r="F24" i="10"/>
  <c r="B20" i="10"/>
  <c r="D20" i="10" s="1"/>
  <c r="G20" i="10"/>
  <c r="F20" i="10"/>
  <c r="B16" i="10"/>
  <c r="D16" i="10" s="1"/>
  <c r="G16" i="10"/>
  <c r="F16" i="10"/>
  <c r="B17" i="10"/>
  <c r="D17" i="10" s="1"/>
  <c r="F17" i="10"/>
  <c r="G17" i="10"/>
  <c r="B13" i="10"/>
  <c r="D13" i="10" s="1"/>
  <c r="F13" i="10"/>
  <c r="G13" i="10"/>
  <c r="B38" i="10"/>
  <c r="D38" i="10" s="1"/>
  <c r="G38" i="10"/>
  <c r="F38" i="10"/>
  <c r="B34" i="10"/>
  <c r="D34" i="10" s="1"/>
  <c r="G34" i="10"/>
  <c r="F34" i="10"/>
  <c r="B31" i="10"/>
  <c r="D31" i="10" s="1"/>
  <c r="G31" i="10"/>
  <c r="F31" i="10"/>
  <c r="B27" i="10"/>
  <c r="D27" i="10" s="1"/>
  <c r="G27" i="10"/>
  <c r="F27" i="10"/>
  <c r="B23" i="10"/>
  <c r="D23" i="10" s="1"/>
  <c r="G23" i="10"/>
  <c r="F23" i="10"/>
  <c r="B19" i="10"/>
  <c r="D19" i="10" s="1"/>
  <c r="G19" i="10"/>
  <c r="F19" i="10"/>
  <c r="B12" i="10"/>
  <c r="D12" i="10" s="1"/>
  <c r="G12" i="10"/>
  <c r="F12" i="10"/>
  <c r="B37" i="10"/>
  <c r="D37" i="10" s="1"/>
  <c r="F37" i="10"/>
  <c r="G37" i="10"/>
  <c r="B30" i="10"/>
  <c r="D30" i="10" s="1"/>
  <c r="F30" i="10"/>
  <c r="G30" i="10"/>
  <c r="B26" i="10"/>
  <c r="D26" i="10" s="1"/>
  <c r="F26" i="10"/>
  <c r="G26" i="10"/>
  <c r="B22" i="10"/>
  <c r="D22" i="10" s="1"/>
  <c r="F22" i="10"/>
  <c r="G22" i="10"/>
  <c r="B18" i="10"/>
  <c r="D18" i="10" s="1"/>
  <c r="F18" i="10"/>
  <c r="G18" i="10"/>
  <c r="J17" i="8"/>
  <c r="D11" i="10" l="1"/>
  <c r="D93" i="10" s="1"/>
  <c r="B93" i="10"/>
  <c r="F93" i="10"/>
  <c r="A2" i="5" l="1"/>
  <c r="A2" i="8"/>
  <c r="C39" i="10" l="1"/>
  <c r="E39" i="10" s="1"/>
  <c r="C19" i="10" l="1"/>
  <c r="E19" i="10" s="1"/>
  <c r="C16" i="10"/>
  <c r="E16" i="10" s="1"/>
  <c r="C12" i="10"/>
  <c r="E12" i="10" s="1"/>
  <c r="C22" i="10"/>
  <c r="E22" i="10" s="1"/>
  <c r="C26" i="10"/>
  <c r="E26" i="10" s="1"/>
  <c r="C30" i="10"/>
  <c r="E30" i="10" s="1"/>
  <c r="C37" i="10"/>
  <c r="E37" i="10" s="1"/>
  <c r="C15" i="10"/>
  <c r="E15" i="10" s="1"/>
  <c r="C11" i="10"/>
  <c r="E11" i="10" s="1"/>
  <c r="C23" i="10"/>
  <c r="E23" i="10" s="1"/>
  <c r="C27" i="10"/>
  <c r="E27" i="10" s="1"/>
  <c r="C31" i="10"/>
  <c r="E31" i="10" s="1"/>
  <c r="C34" i="10"/>
  <c r="E34" i="10" s="1"/>
  <c r="C38" i="10"/>
  <c r="E38" i="10" s="1"/>
  <c r="C18" i="10"/>
  <c r="E18" i="10" s="1"/>
  <c r="C14" i="10"/>
  <c r="E14" i="10" s="1"/>
  <c r="C20" i="10"/>
  <c r="E20" i="10" s="1"/>
  <c r="C24" i="10"/>
  <c r="E24" i="10" s="1"/>
  <c r="C28" i="10"/>
  <c r="E28" i="10" s="1"/>
  <c r="C32" i="10"/>
  <c r="E32" i="10" s="1"/>
  <c r="C35" i="10"/>
  <c r="E35" i="10" s="1"/>
  <c r="C17" i="10"/>
  <c r="E17" i="10" s="1"/>
  <c r="C13" i="10"/>
  <c r="E13" i="10" s="1"/>
  <c r="C21" i="10"/>
  <c r="E21" i="10" s="1"/>
  <c r="C25" i="10"/>
  <c r="E25" i="10" s="1"/>
  <c r="C29" i="10"/>
  <c r="E29" i="10" s="1"/>
  <c r="C33" i="10"/>
  <c r="E33" i="10" s="1"/>
  <c r="C36" i="10"/>
  <c r="E36" i="10" s="1"/>
  <c r="E93" i="10" l="1"/>
  <c r="C93" i="10"/>
  <c r="G93" i="10" l="1"/>
  <c r="E21" i="8"/>
</calcChain>
</file>

<file path=xl/sharedStrings.xml><?xml version="1.0" encoding="utf-8"?>
<sst xmlns="http://schemas.openxmlformats.org/spreadsheetml/2006/main" count="88" uniqueCount="68">
  <si>
    <t>Department</t>
  </si>
  <si>
    <t>Date prepared</t>
  </si>
  <si>
    <t>Prepared by</t>
  </si>
  <si>
    <t>Courses</t>
  </si>
  <si>
    <t>Credit Range</t>
  </si>
  <si>
    <t>Funding</t>
  </si>
  <si>
    <t>Course Number &amp; Title</t>
  </si>
  <si>
    <t>Appt %</t>
  </si>
  <si>
    <t>Notes</t>
  </si>
  <si>
    <t>Appt Structure</t>
  </si>
  <si>
    <t>IYOmLNoOCEmIskJKjLSw-W8n23zFD-FCvQdwxMIS3c1UQjNRR1kzWFhRQ0FBSzhJTFNMRkVPOUtKVSQlQCN0PWcu</t>
  </si>
  <si>
    <t>Form1</t>
  </si>
  <si>
    <t>{0e1b6e06-43b1-48b6-acc1-802bcf166a7d}</t>
  </si>
  <si>
    <t>Department Details</t>
  </si>
  <si>
    <t>6 disc per TA</t>
  </si>
  <si>
    <t>Department TA Rate</t>
  </si>
  <si>
    <t>Course</t>
  </si>
  <si>
    <t>Teaching Assistant Plans</t>
  </si>
  <si>
    <t>Reader/Grader Plans</t>
  </si>
  <si>
    <t>TA 101 Budget</t>
  </si>
  <si>
    <t>Instruction Mode</t>
  </si>
  <si>
    <t>Classroom</t>
  </si>
  <si>
    <t>TA &amp; Reader Plans, 2022-23 Academic Year</t>
  </si>
  <si>
    <t>Enrollment Fall '21</t>
  </si>
  <si>
    <t>Enrollment Spring '22</t>
  </si>
  <si>
    <t>Proposal Notes - TA &amp; Reader Plans, 2022-23 Academic Year</t>
  </si>
  <si>
    <t>Fall Salary</t>
  </si>
  <si>
    <t>Fall FTE</t>
  </si>
  <si>
    <t>Spring Salary</t>
  </si>
  <si>
    <t>Fall Hours</t>
  </si>
  <si>
    <t>Spring Hours</t>
  </si>
  <si>
    <t>Spring FTE</t>
  </si>
  <si>
    <t>TA &amp; Reader Plans</t>
  </si>
  <si>
    <t>2022-23 Academic Year</t>
  </si>
  <si>
    <t>Est. Enrollment - Fall '22</t>
  </si>
  <si>
    <t>Est. Enrollment - Spring '23</t>
  </si>
  <si>
    <t>Course Number &amp; Name</t>
  </si>
  <si>
    <t>Online (some classroom)</t>
  </si>
  <si>
    <t>Spring # of TAs</t>
  </si>
  <si>
    <t>Fall # of TAs</t>
  </si>
  <si>
    <t>101 Salary Estimates</t>
  </si>
  <si>
    <t>Salary by Course</t>
  </si>
  <si>
    <t>Funding Summary, 2022-23</t>
  </si>
  <si>
    <t xml:space="preserve">      </t>
  </si>
  <si>
    <r>
      <rPr>
        <b/>
        <i/>
        <sz val="10"/>
        <rFont val="Calibri"/>
        <family val="2"/>
        <scheme val="minor"/>
      </rPr>
      <t>Use this page to address the following items:</t>
    </r>
    <r>
      <rPr>
        <i/>
        <sz val="10"/>
        <rFont val="Calibri"/>
        <family val="2"/>
        <scheme val="minor"/>
      </rPr>
      <t xml:space="preserve">
- Describe any actions you have taken (or will take) with TA sections and appointments to meet enrollment demands resulting from the AY 21-22 freshman class, and the AY 22-23 expected class of 8100.
- Describe any changes from previous year, or new TA positions.</t>
    </r>
  </si>
  <si>
    <t>Fall TA Salary</t>
  </si>
  <si>
    <t>Spring TA Salary</t>
  </si>
  <si>
    <t>Fall TA FTE</t>
  </si>
  <si>
    <t>Spring TA FTE</t>
  </si>
  <si>
    <t>Fall Reader Salary</t>
  </si>
  <si>
    <t>Spring Reader Salary</t>
  </si>
  <si>
    <t>Funding Source</t>
  </si>
  <si>
    <t>101 Salary</t>
  </si>
  <si>
    <t>Other Salary</t>
  </si>
  <si>
    <t>Total</t>
  </si>
  <si>
    <t>Calculations</t>
  </si>
  <si>
    <t>Timeframe</t>
  </si>
  <si>
    <t>Salary Calc</t>
  </si>
  <si>
    <t>Calculation</t>
  </si>
  <si>
    <t>Sem 1</t>
  </si>
  <si>
    <t>Base rate / 1560 * 784* Appt %</t>
  </si>
  <si>
    <t>Sem 2</t>
  </si>
  <si>
    <t>Base rate / 1560 * 776 * Appt %</t>
  </si>
  <si>
    <t>Academic Year</t>
  </si>
  <si>
    <t>Base rate * Appt %</t>
  </si>
  <si>
    <t>Course 1</t>
  </si>
  <si>
    <t>Online only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</si>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</sst>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22" fillId="0" borderId="3" applyNumberFormat="0" applyFill="0" applyAlignment="0" applyProtection="0"/>
  </cellStyleXfs>
  <cellXfs count="80">
    <xf numFmtId="0" fontId="0" fillId="0" borderId="0" xfId="0"/>
    <xf numFmtId="49" fontId="0" fillId="0" borderId="0" xfId="0" applyNumberFormat="1"/>
    <xf numFmtId="0" fontId="4" fillId="0" borderId="0" xfId="0" applyFont="1"/>
    <xf numFmtId="14" fontId="4" fillId="0" borderId="0" xfId="0" applyNumberFormat="1" applyFont="1"/>
    <xf numFmtId="164" fontId="4" fillId="0" borderId="0" xfId="2" applyNumberFormat="1" applyFont="1"/>
    <xf numFmtId="0" fontId="3" fillId="0" borderId="0" xfId="4" applyBorder="1"/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/>
    <xf numFmtId="1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5" fillId="0" borderId="0" xfId="3" applyFont="1" applyAlignment="1"/>
    <xf numFmtId="0" fontId="8" fillId="0" borderId="1" xfId="4" applyFont="1"/>
    <xf numFmtId="0" fontId="10" fillId="3" borderId="2" xfId="0" applyFont="1" applyFill="1" applyBorder="1"/>
    <xf numFmtId="165" fontId="10" fillId="3" borderId="2" xfId="1" applyNumberFormat="1" applyFont="1" applyFill="1" applyBorder="1"/>
    <xf numFmtId="0" fontId="12" fillId="0" borderId="0" xfId="0" applyNumberFormat="1" applyFont="1" applyFill="1" applyBorder="1"/>
    <xf numFmtId="44" fontId="12" fillId="0" borderId="0" xfId="1" applyFont="1" applyFill="1" applyBorder="1"/>
    <xf numFmtId="44" fontId="12" fillId="0" borderId="0" xfId="0" applyNumberFormat="1" applyFont="1" applyFill="1" applyBorder="1"/>
    <xf numFmtId="0" fontId="12" fillId="0" borderId="0" xfId="0" applyNumberFormat="1" applyFont="1" applyFill="1"/>
    <xf numFmtId="44" fontId="12" fillId="0" borderId="0" xfId="1" applyFont="1" applyFill="1"/>
    <xf numFmtId="44" fontId="12" fillId="0" borderId="0" xfId="0" applyNumberFormat="1" applyFont="1" applyFill="1"/>
    <xf numFmtId="49" fontId="4" fillId="0" borderId="0" xfId="0" applyNumberFormat="1" applyFont="1" applyFill="1"/>
    <xf numFmtId="44" fontId="4" fillId="0" borderId="0" xfId="0" applyNumberFormat="1" applyFont="1" applyFill="1"/>
    <xf numFmtId="0" fontId="6" fillId="0" borderId="0" xfId="5" applyBorder="1" applyAlignment="1"/>
    <xf numFmtId="49" fontId="4" fillId="0" borderId="0" xfId="0" applyNumberFormat="1" applyFont="1" applyAlignment="1">
      <alignment wrapText="1"/>
    </xf>
    <xf numFmtId="44" fontId="13" fillId="0" borderId="0" xfId="0" applyNumberFormat="1" applyFont="1" applyFill="1" applyBorder="1"/>
    <xf numFmtId="0" fontId="12" fillId="0" borderId="0" xfId="0" applyFont="1" applyFill="1" applyBorder="1"/>
    <xf numFmtId="166" fontId="12" fillId="0" borderId="0" xfId="1" applyNumberFormat="1" applyFont="1" applyFill="1" applyBorder="1"/>
    <xf numFmtId="166" fontId="12" fillId="0" borderId="0" xfId="1" applyNumberFormat="1" applyFont="1" applyFill="1"/>
    <xf numFmtId="0" fontId="16" fillId="0" borderId="0" xfId="0" applyFont="1"/>
    <xf numFmtId="0" fontId="0" fillId="0" borderId="0" xfId="0" applyAlignment="1">
      <alignment horizontal="right"/>
    </xf>
    <xf numFmtId="166" fontId="12" fillId="0" borderId="0" xfId="0" applyNumberFormat="1" applyFont="1" applyFill="1" applyBorder="1"/>
    <xf numFmtId="0" fontId="18" fillId="0" borderId="0" xfId="5" applyFont="1" applyBorder="1" applyAlignment="1"/>
    <xf numFmtId="44" fontId="4" fillId="0" borderId="0" xfId="0" applyNumberFormat="1" applyFont="1"/>
    <xf numFmtId="166" fontId="4" fillId="0" borderId="0" xfId="0" applyNumberFormat="1" applyFont="1"/>
    <xf numFmtId="0" fontId="1" fillId="0" borderId="0" xfId="0" applyFont="1"/>
    <xf numFmtId="0" fontId="6" fillId="0" borderId="0" xfId="5" applyFont="1" applyBorder="1"/>
    <xf numFmtId="0" fontId="0" fillId="0" borderId="0" xfId="0" applyFont="1"/>
    <xf numFmtId="0" fontId="17" fillId="0" borderId="0" xfId="5" applyFont="1" applyFill="1" applyBorder="1" applyAlignment="1">
      <alignment vertic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NumberFormat="1" applyFont="1" applyAlignment="1">
      <alignment wrapText="1"/>
    </xf>
    <xf numFmtId="0" fontId="18" fillId="0" borderId="0" xfId="5" applyFont="1" applyBorder="1" applyAlignment="1">
      <alignment horizontal="left"/>
    </xf>
    <xf numFmtId="44" fontId="21" fillId="2" borderId="0" xfId="1" applyNumberFormat="1" applyFont="1" applyFill="1"/>
    <xf numFmtId="166" fontId="19" fillId="4" borderId="0" xfId="1" applyNumberFormat="1" applyFont="1" applyFill="1"/>
    <xf numFmtId="166" fontId="4" fillId="4" borderId="0" xfId="2" applyNumberFormat="1" applyFont="1" applyFill="1"/>
    <xf numFmtId="44" fontId="4" fillId="4" borderId="0" xfId="1" applyFont="1" applyFill="1"/>
    <xf numFmtId="44" fontId="4" fillId="4" borderId="0" xfId="1" applyNumberFormat="1" applyFont="1" applyFill="1"/>
    <xf numFmtId="0" fontId="5" fillId="0" borderId="0" xfId="4" applyFont="1" applyBorder="1" applyAlignment="1"/>
    <xf numFmtId="0" fontId="14" fillId="0" borderId="0" xfId="3" applyFont="1" applyAlignment="1">
      <alignment wrapText="1"/>
    </xf>
    <xf numFmtId="0" fontId="9" fillId="0" borderId="0" xfId="3" applyFont="1" applyAlignment="1"/>
    <xf numFmtId="0" fontId="6" fillId="0" borderId="3" xfId="5" applyBorder="1" applyAlignment="1"/>
    <xf numFmtId="0" fontId="17" fillId="0" borderId="0" xfId="5" applyFont="1" applyBorder="1" applyAlignment="1">
      <alignment wrapText="1"/>
    </xf>
    <xf numFmtId="0" fontId="22" fillId="0" borderId="3" xfId="6" applyFill="1"/>
    <xf numFmtId="0" fontId="24" fillId="0" borderId="0" xfId="0" applyNumberFormat="1" applyFont="1" applyFill="1"/>
    <xf numFmtId="44" fontId="24" fillId="0" borderId="0" xfId="1" applyFont="1" applyFill="1"/>
    <xf numFmtId="166" fontId="24" fillId="0" borderId="0" xfId="1" applyNumberFormat="1" applyFont="1" applyFill="1"/>
    <xf numFmtId="44" fontId="24" fillId="0" borderId="0" xfId="0" applyNumberFormat="1" applyFont="1" applyFill="1"/>
    <xf numFmtId="0" fontId="22" fillId="0" borderId="3" xfId="6" applyAlignment="1"/>
    <xf numFmtId="0" fontId="12" fillId="0" borderId="0" xfId="0" applyFont="1" applyFill="1"/>
    <xf numFmtId="166" fontId="12" fillId="0" borderId="0" xfId="0" applyNumberFormat="1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4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/>
    <xf numFmtId="44" fontId="4" fillId="2" borderId="0" xfId="1" applyNumberFormat="1" applyFont="1" applyFill="1"/>
    <xf numFmtId="0" fontId="3" fillId="0" borderId="0" xfId="4" applyFont="1" applyBorder="1" applyAlignment="1">
      <alignment horizontal="left"/>
    </xf>
    <xf numFmtId="0" fontId="18" fillId="0" borderId="0" xfId="5" applyFont="1" applyBorder="1" applyAlignment="1">
      <alignment horizontal="left"/>
    </xf>
    <xf numFmtId="0" fontId="5" fillId="0" borderId="0" xfId="3" applyFont="1" applyAlignment="1">
      <alignment horizontal="left"/>
    </xf>
    <xf numFmtId="0" fontId="20" fillId="0" borderId="0" xfId="5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right" wrapText="1"/>
    </xf>
    <xf numFmtId="49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wrapText="1"/>
    </xf>
  </cellXfs>
  <cellStyles count="7">
    <cellStyle name="Currency" xfId="1" builtinId="4"/>
    <cellStyle name="Explanatory Text" xfId="5" builtinId="53"/>
    <cellStyle name="Heading 1" xfId="4" builtinId="16"/>
    <cellStyle name="Heading 3" xfId="6" builtinId="18"/>
    <cellStyle name="Normal" xfId="0" builtinId="0"/>
    <cellStyle name="Percent" xfId="2" builtinId="5"/>
    <cellStyle name="Title" xfId="3" builtinId="15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0.0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00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</dxf>
    <dxf>
      <font>
        <b/>
        <color theme="1"/>
      </font>
      <fill>
        <patternFill patternType="none">
          <bgColor auto="1"/>
        </patternFill>
      </fill>
      <border diagonalUp="0" diagonalDown="0">
        <left style="thin">
          <color theme="3" tint="0.79998168889431442"/>
        </left>
        <right style="thin">
          <color theme="3" tint="0.79998168889431442"/>
        </right>
        <top style="double">
          <color theme="4"/>
        </top>
        <bottom style="thin">
          <color theme="3" tint="0.79998168889431442"/>
        </bottom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7558519241921"/>
        </horizontal>
      </border>
    </dxf>
  </dxfs>
  <tableStyles count="1" defaultTableStyle="TableStyleLight9" defaultPivotStyle="PivotStyleMedium9">
    <tableStyle name="TableStyleMedium2 2" pivot="0" count="7" xr9:uid="{00000000-0011-0000-FFFF-FFFF00000000}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firstColumnStripe" dxfId="1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hr.wisc.edu/hr-professionals/payrol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95251</xdr:rowOff>
    </xdr:from>
    <xdr:to>
      <xdr:col>9</xdr:col>
      <xdr:colOff>0</xdr:colOff>
      <xdr:row>6</xdr:row>
      <xdr:rowOff>28575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36A2DA0-72D6-4A13-AEB9-1B27887B9DC6}"/>
            </a:ext>
          </a:extLst>
        </xdr:cNvPr>
        <xdr:cNvGrpSpPr/>
      </xdr:nvGrpSpPr>
      <xdr:grpSpPr>
        <a:xfrm>
          <a:off x="11249025" y="95251"/>
          <a:ext cx="3105150" cy="1343024"/>
          <a:chOff x="11449050" y="-78462"/>
          <a:chExt cx="3200400" cy="1576308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9BCF9DB-C2B4-4872-912F-2F6C1DCB1A03}"/>
              </a:ext>
            </a:extLst>
          </xdr:cNvPr>
          <xdr:cNvSpPr/>
        </xdr:nvSpPr>
        <xdr:spPr>
          <a:xfrm>
            <a:off x="11449050" y="-78462"/>
            <a:ext cx="3200400" cy="632460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en-US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* Important *</a:t>
            </a:r>
            <a:endParaRPr lang="en-US" sz="1000">
              <a:effectLst/>
            </a:endParaRPr>
          </a:p>
          <a:p>
            <a:r>
              <a:rPr lang="en-US" sz="10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Complete this page first; the list</a:t>
            </a:r>
            <a:r>
              <a:rPr lang="en-US" sz="10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of courses will be referenced by the other worksheets.</a:t>
            </a:r>
            <a:endParaRPr lang="en-US" sz="1000">
              <a:effectLst/>
            </a:endParaRPr>
          </a:p>
          <a:p>
            <a:endParaRPr lang="en-US" sz="1000">
              <a:effectLst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264FDEE2-02D7-4AAE-9B76-1E0D2EA90049}"/>
              </a:ext>
            </a:extLst>
          </xdr:cNvPr>
          <xdr:cNvSpPr/>
        </xdr:nvSpPr>
        <xdr:spPr>
          <a:xfrm>
            <a:off x="11449050" y="598289"/>
            <a:ext cx="3200400" cy="899557"/>
          </a:xfrm>
          <a:prstGeom prst="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000"/>
              <a:t>Course Number &amp; Name. List the courses that have teaching assistants and/or reader/graders, along with the credit range, modality, estimated</a:t>
            </a:r>
            <a:r>
              <a:rPr lang="en-US" sz="1000" baseline="0"/>
              <a:t> enrollment</a:t>
            </a:r>
            <a:r>
              <a:rPr lang="en-US" sz="1000"/>
              <a:t>, and previous enrollment.</a:t>
            </a:r>
            <a:endParaRPr lang="en-US" sz="1000" u="none">
              <a:latin typeface="+mn-lt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180978</xdr:colOff>
      <xdr:row>0</xdr:row>
      <xdr:rowOff>38100</xdr:rowOff>
    </xdr:from>
    <xdr:to>
      <xdr:col>17</xdr:col>
      <xdr:colOff>15090</xdr:colOff>
      <xdr:row>42</xdr:row>
      <xdr:rowOff>87921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5EDF2AF-C518-492A-A773-899E6852ED6F}"/>
            </a:ext>
          </a:extLst>
        </xdr:cNvPr>
        <xdr:cNvGrpSpPr/>
      </xdr:nvGrpSpPr>
      <xdr:grpSpPr>
        <a:xfrm>
          <a:off x="11782428" y="38100"/>
          <a:ext cx="4101312" cy="8269896"/>
          <a:chOff x="11782424" y="38100"/>
          <a:chExt cx="3204187" cy="8269959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DD6F6770-B31F-405A-8CE3-7516600DA21E}"/>
              </a:ext>
            </a:extLst>
          </xdr:cNvPr>
          <xdr:cNvGrpSpPr/>
        </xdr:nvGrpSpPr>
        <xdr:grpSpPr>
          <a:xfrm>
            <a:off x="11782424" y="38100"/>
            <a:ext cx="3200401" cy="6701204"/>
            <a:chOff x="11449049" y="10777"/>
            <a:chExt cx="3200401" cy="6943666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1D71EAE2-B63A-481F-B6CF-462228811606}"/>
                </a:ext>
              </a:extLst>
            </xdr:cNvPr>
            <xdr:cNvSpPr/>
          </xdr:nvSpPr>
          <xdr:spPr>
            <a:xfrm>
              <a:off x="11449050" y="10777"/>
              <a:ext cx="3200400" cy="1075943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* Important *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The</a:t>
              </a:r>
              <a:r>
                <a:rPr lang="en-US" sz="10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TA and Reader tables on this worksheet refer to courses listed on the 'Courses' worksheet. The 'Courses' worksheet must be completed first.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Tip! Copy the list of courses from the 'Courses' page into the Course column on this page.</a:t>
              </a:r>
              <a:endParaRPr lang="en-US" sz="1000">
                <a:solidFill>
                  <a:sysClr val="windowText" lastClr="000000"/>
                </a:solidFill>
                <a:effectLst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>
                <a:solidFill>
                  <a:sysClr val="windowText" lastClr="000000"/>
                </a:solidFill>
                <a:effectLst/>
              </a:endParaRPr>
            </a:p>
            <a:p>
              <a:pPr algn="l"/>
              <a:endParaRPr lang="en-US" sz="1000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E70879C3-A5BA-4B61-B6C6-BE8D82EED68B}"/>
                </a:ext>
              </a:extLst>
            </xdr:cNvPr>
            <xdr:cNvSpPr/>
          </xdr:nvSpPr>
          <xdr:spPr>
            <a:xfrm>
              <a:off x="11449049" y="2748274"/>
              <a:ext cx="3200400" cy="309072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r>
                <a:rPr lang="en-US" sz="1000" b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'Teaching Assistant Plans' table</a:t>
              </a:r>
            </a:p>
            <a:p>
              <a:r>
                <a:rPr lang="en-US" sz="10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List your </a:t>
              </a:r>
              <a:r>
                <a:rPr lang="en-US" sz="1000" b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departmental TA rate </a:t>
              </a:r>
              <a:r>
                <a:rPr lang="en-US" sz="10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 the top of the form. </a:t>
              </a:r>
            </a:p>
            <a:p>
              <a:pPr algn="l"/>
              <a:endParaRPr lang="en-US" sz="1000" b="1" u="none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lang="en-US" sz="1000" b="1" u="none" baseline="0">
                  <a:solidFill>
                    <a:sysClr val="windowText" lastClr="000000"/>
                  </a:solidFill>
                </a:rPr>
                <a:t>Course</a:t>
              </a:r>
              <a:r>
                <a:rPr lang="en-US" sz="1000" b="0" u="none" baseline="0">
                  <a:solidFill>
                    <a:sysClr val="windowText" lastClr="000000"/>
                  </a:solidFill>
                </a:rPr>
                <a:t>. This field pulls from the list of courses on the 'Course' worksheet.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u="non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Fall &amp; Spring # of TAs</a:t>
              </a:r>
              <a:r>
                <a:rPr lang="en-US" sz="1000" b="0" u="non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. List the headcount of TAs needed in the given position(s).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 b="0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u="non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Appt Structure</a:t>
              </a:r>
              <a:r>
                <a:rPr lang="en-US" sz="1000" b="0" u="non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. List the number of labs, discussions, etc. per position.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 b="0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u="none" baseline="0">
                  <a:solidFill>
                    <a:sysClr val="windowText" lastClr="000000"/>
                  </a:solidFill>
                </a:rPr>
                <a:t>Funding. </a:t>
              </a:r>
              <a:r>
                <a:rPr lang="en-US" sz="1000" b="0" u="none" baseline="0">
                  <a:solidFill>
                    <a:sysClr val="windowText" lastClr="000000"/>
                  </a:solidFill>
                </a:rPr>
                <a:t>Select one of the following options:</a:t>
              </a:r>
              <a:endParaRPr lang="en-US" sz="1000" b="1" u="none" baseline="0">
                <a:solidFill>
                  <a:sysClr val="windowText" lastClr="000000"/>
                </a:solidFill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0" u="none" baseline="0">
                  <a:solidFill>
                    <a:sysClr val="windowText" lastClr="000000"/>
                  </a:solidFill>
                </a:rPr>
                <a:t>- 'TA 101 Budget' = default funding, 101-48##71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0" u="none" baseline="0">
                  <a:solidFill>
                    <a:sysClr val="windowText" lastClr="000000"/>
                  </a:solidFill>
                </a:rPr>
                <a:t>- 'Other' = Use 'Notes' tab to provide details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 b="0" u="none" baseline="0">
                <a:solidFill>
                  <a:sysClr val="windowText" lastClr="000000"/>
                </a:solidFill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u="none" baseline="0">
                  <a:solidFill>
                    <a:sysClr val="windowText" lastClr="000000"/>
                  </a:solidFill>
                </a:rPr>
                <a:t>Appt %</a:t>
              </a:r>
              <a:r>
                <a:rPr lang="en-US" sz="1000" b="0" u="none" baseline="0">
                  <a:solidFill>
                    <a:sysClr val="windowText" lastClr="000000"/>
                  </a:solidFill>
                </a:rPr>
                <a:t>. Expected appointment level. Please add information to the 'Notes' tab if changing from past practice.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 b="0" u="none" baseline="0">
                <a:solidFill>
                  <a:sysClr val="windowText" lastClr="000000"/>
                </a:solidFill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u="none" baseline="0">
                  <a:solidFill>
                    <a:sysClr val="windowText" lastClr="000000"/>
                  </a:solidFill>
                </a:rPr>
                <a:t>Fall/Spring FTE. </a:t>
              </a:r>
              <a:r>
                <a:rPr lang="en-US" sz="1000" b="0" u="none" baseline="0">
                  <a:solidFill>
                    <a:sysClr val="windowText" lastClr="000000"/>
                  </a:solidFill>
                </a:rPr>
                <a:t>Salary estimate divided by full-time TA rate.</a:t>
              </a:r>
              <a:endParaRPr lang="en-US" sz="1000" b="1" u="none" baseline="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23EF8FAE-6319-4685-A1DE-5F5221B5F000}"/>
                </a:ext>
              </a:extLst>
            </xdr:cNvPr>
            <xdr:cNvSpPr/>
          </xdr:nvSpPr>
          <xdr:spPr>
            <a:xfrm>
              <a:off x="11449050" y="5873852"/>
              <a:ext cx="3200400" cy="108059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000" b="1" u="none"/>
                <a:t>Reader</a:t>
              </a:r>
              <a:r>
                <a:rPr lang="en-US" sz="1000" b="1" u="none" baseline="0"/>
                <a:t> Instructions</a:t>
              </a:r>
            </a:p>
            <a:p>
              <a:pPr algn="l"/>
              <a:r>
                <a:rPr lang="en-US" sz="1000" b="0" u="none" baseline="0"/>
                <a:t>Reader/graders in the academic year do *not* require approval by L&amp;S Admin, however, they are included on this spreadsheet for the purpose of the department's budget estimate.</a:t>
              </a:r>
            </a:p>
            <a:p>
              <a:endParaRPr lang="en-US" sz="1000" b="0" u="sng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000" b="0" u="none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Salary calculation = </a:t>
              </a:r>
              <a:r>
                <a:rPr lang="en-US" sz="1000" b="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Fall Hours/Spring Hours * 22.22</a:t>
              </a:r>
              <a:endParaRPr lang="en-US" sz="1000">
                <a:effectLst/>
              </a:endParaRPr>
            </a:p>
            <a:p>
              <a:pPr algn="l"/>
              <a:endParaRPr lang="en-US" sz="1000" b="0" u="none"/>
            </a:p>
            <a:p>
              <a:pPr algn="l"/>
              <a:endParaRPr lang="en-US" sz="1000" b="1" u="none" baseline="0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B0647A6-E9B3-4C29-AA3B-6BF72F69C95B}"/>
                </a:ext>
              </a:extLst>
            </xdr:cNvPr>
            <xdr:cNvSpPr/>
          </xdr:nvSpPr>
          <xdr:spPr>
            <a:xfrm>
              <a:off x="11449050" y="1109958"/>
              <a:ext cx="3200400" cy="1591838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 Instructions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Use</a:t>
              </a:r>
              <a:r>
                <a:rPr lang="en-US" sz="1000" b="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the 'Teaching Assistant Plans' table to indicate your planned appointments for the upcoming year. Please list multiple rows per course if necessary.</a:t>
              </a:r>
            </a:p>
            <a:p>
              <a:pPr eaLnBrk="1" fontAlgn="auto" latinLnBrk="0" hangingPunct="1"/>
              <a:endParaRPr lang="en-US" sz="1000" b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eaLnBrk="1" fontAlgn="auto" latinLnBrk="0" hangingPunct="1"/>
              <a:r>
                <a:rPr lang="en-US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This</a:t>
              </a:r>
              <a:r>
                <a:rPr lang="en-US" sz="10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spreadsheet uses a simplied salary calculation for the purpose of budgeting:</a:t>
              </a:r>
              <a:endParaRPr lang="en-US" sz="1000">
                <a:effectLst/>
              </a:endParaRPr>
            </a:p>
            <a:p>
              <a:pPr algn="ctr" eaLnBrk="1" fontAlgn="auto" latinLnBrk="0" hangingPunct="1"/>
              <a:r>
                <a:rPr lang="en-US" sz="1000" b="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TARate/2 * Appt % * Fall/Spring # of TAs</a:t>
              </a:r>
              <a:endParaRPr lang="en-US" sz="1000">
                <a:effectLst/>
              </a:endParaRPr>
            </a:p>
            <a:p>
              <a:pPr eaLnBrk="1" fontAlgn="auto" latinLnBrk="0" hangingPunct="1"/>
              <a:r>
                <a:rPr lang="en-US" sz="10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Final salary amounts will depend on the contract dates for each semester.</a:t>
              </a:r>
              <a:endParaRPr lang="en-US" sz="1000">
                <a:effectLst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>
                <a:solidFill>
                  <a:sysClr val="windowText" lastClr="000000"/>
                </a:solidFill>
                <a:effectLst/>
              </a:endParaRPr>
            </a:p>
          </xdr:txBody>
        </xdr:sp>
      </xdr:grp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DCB5BA19-EBA3-49DC-983C-225B926B4D9B}"/>
              </a:ext>
            </a:extLst>
          </xdr:cNvPr>
          <xdr:cNvSpPr/>
        </xdr:nvSpPr>
        <xdr:spPr>
          <a:xfrm>
            <a:off x="11786210" y="6769505"/>
            <a:ext cx="3200401" cy="153855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r>
              <a:rPr lang="en-US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'Reader/Grader Plans' table</a:t>
            </a:r>
          </a:p>
          <a:p>
            <a:r>
              <a:rPr lang="en-US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Course</a:t>
            </a:r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This field pulls from the list of courses on the 'Course' worksheet.</a:t>
            </a:r>
          </a:p>
          <a:p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sz="1000">
              <a:effectLst/>
            </a:endParaRPr>
          </a:p>
          <a:p>
            <a:pPr eaLnBrk="1" fontAlgn="auto" latinLnBrk="0" hangingPunct="1"/>
            <a:r>
              <a:rPr lang="en-US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Fall &amp; Spring Hours</a:t>
            </a:r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List the number of hours anticipated for the course each semester.</a:t>
            </a:r>
          </a:p>
          <a:p>
            <a:pPr eaLnBrk="1" fontAlgn="auto" latinLnBrk="0" hangingPunct="1"/>
            <a:endParaRPr lang="en-US" sz="1000">
              <a:effectLst/>
            </a:endParaRPr>
          </a:p>
          <a:p>
            <a:pPr eaLnBrk="1" fontAlgn="auto" latinLnBrk="0" hangingPunct="1"/>
            <a:r>
              <a:rPr lang="en-US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Funding</a:t>
            </a:r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Select one of the following options:</a:t>
            </a:r>
            <a:endParaRPr lang="en-US" sz="1000">
              <a:effectLst/>
            </a:endParaRPr>
          </a:p>
          <a:p>
            <a:pPr eaLnBrk="1" fontAlgn="auto" latinLnBrk="0" hangingPunct="1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 'TA 101 Budget' = default funding, 101-48##71</a:t>
            </a:r>
            <a:endParaRPr lang="en-US" sz="1000">
              <a:effectLst/>
            </a:endParaRPr>
          </a:p>
          <a:p>
            <a:pPr eaLnBrk="1" fontAlgn="auto" latinLnBrk="0" hangingPunct="1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 'Other' = Use 'Notes' tab to provide details</a:t>
            </a:r>
            <a:endParaRPr lang="en-US" sz="1000">
              <a:effectLst/>
            </a:endParaRPr>
          </a:p>
          <a:p>
            <a:endParaRPr lang="en-US" sz="1000" b="0" u="none" baseline="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47626</xdr:rowOff>
    </xdr:from>
    <xdr:to>
      <xdr:col>3</xdr:col>
      <xdr:colOff>0</xdr:colOff>
      <xdr:row>1</xdr:row>
      <xdr:rowOff>676275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B558F2C-B9C6-449D-BD41-207BC3CEAB6B}"/>
            </a:ext>
          </a:extLst>
        </xdr:cNvPr>
        <xdr:cNvSpPr/>
      </xdr:nvSpPr>
      <xdr:spPr>
        <a:xfrm>
          <a:off x="9525" y="295276"/>
          <a:ext cx="4933950" cy="6286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/>
            <a:t>This</a:t>
          </a:r>
          <a:r>
            <a:rPr lang="en-US" sz="1050" baseline="0"/>
            <a:t> spreadsheet uses a simplied salary calculation for the purpose of budgeting.  For a more exact calculation, use the FLOAT tool on OHR's Payroll Toolkit. The final salary calculation will be determined by L&amp;S Human Resources.</a:t>
          </a:r>
          <a:endParaRPr lang="en-US" sz="1050"/>
        </a:p>
      </xdr:txBody>
    </xdr:sp>
    <xdr:clientData/>
  </xdr:twoCellAnchor>
  <xdr:twoCellAnchor>
    <xdr:from>
      <xdr:col>3</xdr:col>
      <xdr:colOff>104775</xdr:colOff>
      <xdr:row>0</xdr:row>
      <xdr:rowOff>76201</xdr:rowOff>
    </xdr:from>
    <xdr:to>
      <xdr:col>5</xdr:col>
      <xdr:colOff>19050</xdr:colOff>
      <xdr:row>1</xdr:row>
      <xdr:rowOff>200025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5DAE3-9180-4F11-A5D2-3312E98502B8}"/>
            </a:ext>
          </a:extLst>
        </xdr:cNvPr>
        <xdr:cNvSpPr/>
      </xdr:nvSpPr>
      <xdr:spPr>
        <a:xfrm>
          <a:off x="5048250" y="76201"/>
          <a:ext cx="1133475" cy="37147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/>
            <a:t>Link: OHR Payroll Toolkit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ils" displayName="Details" ref="A4:B6" headerRowCount="0" headerRowDxfId="103" dataDxfId="102" totalsRowDxfId="101">
  <tableColumns count="2">
    <tableColumn id="1" xr3:uid="{00000000-0010-0000-0000-000001000000}" name="Column1" dataDxfId="100"/>
    <tableColumn id="2" xr3:uid="{00000000-0010-0000-0000-000002000000}" name="Column2" dataDxfId="99"/>
  </tableColumns>
  <tableStyleInfo name="TableStyleMedium2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Courses" displayName="Courses" ref="A8:G15" totalsRowCount="1" headerRowDxfId="98" dataDxfId="97" tableBorderDxfId="96">
  <tableColumns count="7">
    <tableColumn id="12" xr3:uid="{764C7236-AC49-41D5-94C3-010AF403728C}" name="Course Number &amp; Name" dataDxfId="95" totalsRowDxfId="26"/>
    <tableColumn id="3" xr3:uid="{00000000-0010-0000-0100-000003000000}" name="Credit Range" dataDxfId="94" totalsRowDxfId="25"/>
    <tableColumn id="8" xr3:uid="{00000000-0010-0000-0100-000008000000}" name="Instruction Mode" dataDxfId="93" totalsRowDxfId="24"/>
    <tableColumn id="5" xr3:uid="{00000000-0010-0000-0100-000005000000}" name="Est. Enrollment - Fall '22" dataDxfId="92" totalsRowDxfId="23"/>
    <tableColumn id="2" xr3:uid="{00000000-0010-0000-0100-000002000000}" name="Est. Enrollment - Spring '23" dataDxfId="91" totalsRowDxfId="22"/>
    <tableColumn id="4" xr3:uid="{00000000-0010-0000-0100-000004000000}" name="Enrollment Fall '21" dataDxfId="90"/>
    <tableColumn id="6" xr3:uid="{00000000-0010-0000-0100-000006000000}" name="Enrollment Spring '22" dataDxfId="89"/>
  </tableColumns>
  <tableStyleInfo name="TableStyleMedium2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" displayName="TA" ref="A6:J17" totalsRowCount="1" headerRowDxfId="88" dataDxfId="87" totalsRowDxfId="86">
  <tableColumns count="10">
    <tableColumn id="1" xr3:uid="{00000000-0010-0000-0300-000001000000}" name="Course" totalsRowDxfId="15"/>
    <tableColumn id="2" xr3:uid="{36B8514B-9BD5-4ED7-96EA-A7C02B024952}" name="Fall # of TAs" dataDxfId="43" totalsRowDxfId="14"/>
    <tableColumn id="5" xr3:uid="{00000000-0010-0000-0300-000005000000}" name="Spring # of TAs" totalsRowFunction="sum" dataDxfId="42" totalsRowDxfId="13"/>
    <tableColumn id="4" xr3:uid="{00000000-0010-0000-0300-000004000000}" name="Appt Structure" dataDxfId="41" totalsRowDxfId="12"/>
    <tableColumn id="7" xr3:uid="{00000000-0010-0000-0300-000007000000}" name="Funding" dataDxfId="40" totalsRowDxfId="11"/>
    <tableColumn id="3" xr3:uid="{00000000-0010-0000-0300-000003000000}" name="Appt %" dataDxfId="39" totalsRowDxfId="10" dataCellStyle="Percent"/>
    <tableColumn id="11" xr3:uid="{631E3952-7F96-426D-AF86-0B931FF3DB7A}" name="Fall Salary" totalsRowFunction="sum" dataDxfId="38" totalsRowDxfId="9" dataCellStyle="Currency">
      <calculatedColumnFormula>IF(TA[[#This Row],[Course]]="","",(TARate*TA[[#This Row],[Appt %]]*0.502564102564102)*TA[[#This Row],[Fall '# of TAs]])</calculatedColumnFormula>
    </tableColumn>
    <tableColumn id="10" xr3:uid="{A813D601-9DAC-4822-9532-5CB04137B119}" name="Fall FTE" totalsRowFunction="sum" dataDxfId="37" totalsRowDxfId="8" dataCellStyle="Percent">
      <calculatedColumnFormula>IFERROR(ROUND(IF(TA[[#This Row],[Fall Salary]]="","",TA[[#This Row],[Fall Salary]]/TARate),3),0)</calculatedColumnFormula>
    </tableColumn>
    <tableColumn id="9" xr3:uid="{00000000-0010-0000-0300-000009000000}" name="Spring Salary" totalsRowFunction="sum" dataDxfId="36" totalsRowDxfId="7" dataCellStyle="Currency">
      <calculatedColumnFormula>IF(TA[[#This Row],[Course]]="","",(TARate*TA[[#This Row],[Appt %]]*0.497435897435897)*TA[[#This Row],[Spring '# of TAs]])</calculatedColumnFormula>
    </tableColumn>
    <tableColumn id="6" xr3:uid="{00000000-0010-0000-0300-000006000000}" name="Spring FTE" totalsRowFunction="sum" dataDxfId="35" totalsRowDxfId="6" dataCellStyle="Currency">
      <calculatedColumnFormula>IFERROR(ROUND(IF(TA[[#This Row],[Spring Salary]]="","",TA[[#This Row],[Spring Salary]]/TARate),3),0)</calculatedColumnFormula>
    </tableColumn>
  </tableColumns>
  <tableStyleInfo name="TableStyleMedium2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eader" displayName="Reader" ref="A19:F21" totalsRowCount="1" headerRowDxfId="34" dataDxfId="33" totalsRowDxfId="32">
  <tableColumns count="6">
    <tableColumn id="1" xr3:uid="{00000000-0010-0000-0400-000001000000}" name="Course Number &amp; Title" dataDxfId="31" totalsRowDxfId="5"/>
    <tableColumn id="5" xr3:uid="{00000000-0010-0000-0400-000005000000}" name="Fall Hours" totalsRowFunction="sum" dataDxfId="30" totalsRowDxfId="4"/>
    <tableColumn id="4" xr3:uid="{DDC41BA0-E9CE-4547-95E1-75B5C3F808A2}" name="Spring Hours" totalsRowDxfId="3"/>
    <tableColumn id="7" xr3:uid="{00000000-0010-0000-0400-000007000000}" name="Funding" dataDxfId="29" totalsRowDxfId="2"/>
    <tableColumn id="9" xr3:uid="{00000000-0010-0000-0400-000009000000}" name="Fall Salary" totalsRowFunction="sum" dataDxfId="28" totalsRowDxfId="1" dataCellStyle="Currency">
      <calculatedColumnFormula>Reader[[#This Row],[Fall Hours]]*22.22</calculatedColumnFormula>
    </tableColumn>
    <tableColumn id="6" xr3:uid="{B46311F1-342B-41B8-864B-91C8F691009A}" name="Spring Salary" dataDxfId="27" totalsRowDxfId="0" dataCellStyle="Currency">
      <calculatedColumnFormula>Reader[[#This Row],[Spring Hours]]*22.22</calculatedColumnFormula>
    </tableColumn>
  </tableColumns>
  <tableStyleInfo name="TableStyleMedium2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Notes" displayName="Notes" ref="A4:A9" headerRowDxfId="85" dataDxfId="84">
  <tableColumns count="1">
    <tableColumn id="2" xr3:uid="{00000000-0010-0000-0500-000002000000}" name="Notes" dataDxfId="83" totalsRowDxfId="82"/>
  </tableColumns>
  <tableStyleInfo name="TableStyleMedium2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Summary" displayName="Summary" ref="A10:G93" totalsRowCount="1" headerRowDxfId="81" dataDxfId="80" totalsRowDxfId="79">
  <tableColumns count="7">
    <tableColumn id="2" xr3:uid="{00000000-0010-0000-0600-000002000000}" name="Course" dataDxfId="78" totalsRowDxfId="77">
      <calculatedColumnFormula>IFERROR(INDEX(Courses[Course Number &amp; Name],ROW()-10,1),"")</calculatedColumnFormula>
    </tableColumn>
    <tableColumn id="1" xr3:uid="{DF18710E-C884-4066-94FD-6C4E0A5B4826}" name="Fall TA Salary" totalsRowFunction="sum" dataDxfId="76" totalsRowDxfId="75">
      <calculatedColumnFormula>SUMIF(TA[Course],Summary[[#This Row],[Course]],TA[Fall Salary])</calculatedColumnFormula>
    </tableColumn>
    <tableColumn id="4" xr3:uid="{00000000-0010-0000-0600-000004000000}" name="Spring TA Salary" totalsRowFunction="sum" dataDxfId="74" totalsRowDxfId="73" dataCellStyle="Currency">
      <calculatedColumnFormula>SUMIF(TA[Course],Summary[[#This Row],[Course]],TA[Spring Salary])</calculatedColumnFormula>
    </tableColumn>
    <tableColumn id="7" xr3:uid="{E05D31FD-75BE-4A35-92FC-E89E8F6D4A98}" name="Fall TA FTE" totalsRowFunction="sum" dataDxfId="72" totalsRowDxfId="71" dataCellStyle="Currency">
      <calculatedColumnFormula>IF(Summary[[#This Row],[Fall TA Salary]]=0,"",Summary[[#This Row],[Fall TA Salary]]/TARate)</calculatedColumnFormula>
    </tableColumn>
    <tableColumn id="3" xr3:uid="{00000000-0010-0000-0600-000003000000}" name="Spring TA FTE" totalsRowFunction="sum" dataDxfId="70" totalsRowDxfId="69" dataCellStyle="Currency">
      <calculatedColumnFormula>IF(Summary[[#This Row],[Spring TA Salary]]=0,"",Summary[[#This Row],[Spring TA Salary]]/TARate)</calculatedColumnFormula>
    </tableColumn>
    <tableColumn id="8" xr3:uid="{D373A437-184D-4636-BEAA-FA054A4BC9B3}" name="Fall Reader Salary" totalsRowFunction="sum" dataDxfId="68" totalsRowDxfId="67" dataCellStyle="Currency">
      <calculatedColumnFormula>SUMIF(Reader[Course Number &amp; Title],Summary[[#This Row],[Course]],Reader[Fall Salary])</calculatedColumnFormula>
    </tableColumn>
    <tableColumn id="5" xr3:uid="{00000000-0010-0000-0600-000005000000}" name="Spring Reader Salary" totalsRowFunction="sum" dataDxfId="66" totalsRowDxfId="65">
      <calculatedColumnFormula>SUMIF(Reader[Course Number &amp; Title],Summary[[#This Row],[Course]],Reader[Spring Salary])</calculatedColumnFormula>
    </tableColumn>
  </tableColumns>
  <tableStyleInfo name="TableStyleMedium2 2" showFirstColumn="1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8ACA6B-8860-46FE-B6D9-09FC8A9ADF02}" name="Table4" displayName="Table4" ref="A4:G7" totalsRowCount="1" headerRowDxfId="64" dataDxfId="63">
  <tableColumns count="7">
    <tableColumn id="1" xr3:uid="{F5700FE5-7564-4818-AA49-C552594D3D79}" name="Funding Source" totalsRowLabel="Total" dataDxfId="62" totalsRowDxfId="61"/>
    <tableColumn id="2" xr3:uid="{EE37FAA7-7B3B-46C2-83F2-7F4A2E3DB68E}" name="Fall TA Salary" totalsRowFunction="sum" dataDxfId="60" totalsRowDxfId="59">
      <calculatedColumnFormula>SUMIF(TA[Funding],"TA 101 Budget",TA[Fall Salary])</calculatedColumnFormula>
    </tableColumn>
    <tableColumn id="3" xr3:uid="{E4C66CB0-D752-4C5E-BEF6-AEC2744DE7CA}" name="Spring TA Salary" totalsRowFunction="sum" dataDxfId="58" totalsRowDxfId="57">
      <calculatedColumnFormula>SUMIF(TA[Funding],"TA 101 Budget",TA[Spring Salary])</calculatedColumnFormula>
    </tableColumn>
    <tableColumn id="4" xr3:uid="{A37C20BE-1BF3-4103-9065-015B1715CD11}" name="Fall TA FTE" totalsRowFunction="sum" dataDxfId="56" totalsRowDxfId="55">
      <calculatedColumnFormula>B5/TARate</calculatedColumnFormula>
    </tableColumn>
    <tableColumn id="5" xr3:uid="{A16D9555-0108-4053-9DC5-51E78649F921}" name="Spring TA FTE" totalsRowFunction="sum" dataDxfId="54" totalsRowDxfId="53">
      <calculatedColumnFormula>C5/TARate</calculatedColumnFormula>
    </tableColumn>
    <tableColumn id="6" xr3:uid="{6FA4FB9A-1112-4757-B5E0-392AADCA893B}" name="Fall Reader Salary" totalsRowFunction="sum" dataDxfId="52" totalsRowDxfId="51">
      <calculatedColumnFormula>SUMIF(Reader[Funding],"TA 101 Budget",Reader[Fall Salary])</calculatedColumnFormula>
    </tableColumn>
    <tableColumn id="7" xr3:uid="{0752C97C-889A-41DE-996B-10845FA66D1E}" name="Spring Reader Salary" totalsRowFunction="sum" dataDxfId="50" totalsRowDxfId="49">
      <calculatedColumnFormula>SUMIF(Reader[Funding],"TA 101 Budget",Reader[Spring Salary])</calculatedColumnFormula>
    </tableColumn>
  </tableColumns>
  <tableStyleInfo name="TableStyleMedium2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D6067-0C15-4C80-81C1-7159908AC4FB}" name="Calc" displayName="Calc" ref="A3:C6" totalsRowShown="0" headerRowDxfId="48" dataDxfId="47">
  <tableColumns count="3">
    <tableColumn id="1" xr3:uid="{ED23C9D8-DB6F-47F2-A8C5-C2513203B017}" name="Timeframe" dataDxfId="46"/>
    <tableColumn id="2" xr3:uid="{9A4F8863-CF36-4BAA-BE85-39170DD5177D}" name="Salary Calc" dataDxfId="45"/>
    <tableColumn id="3" xr3:uid="{12A2BC2B-91EC-4D3E-ADC5-825F80F95326}" name="Calculation" dataDxfId="4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showGridLines="0" zoomScaleNormal="100" workbookViewId="0">
      <selection activeCell="B4" sqref="B4"/>
    </sheetView>
  </sheetViews>
  <sheetFormatPr defaultColWidth="24.28515625" defaultRowHeight="15" x14ac:dyDescent="0.25"/>
  <cols>
    <col min="1" max="1" width="39" bestFit="1" customWidth="1"/>
    <col min="2" max="2" width="22.140625" customWidth="1"/>
    <col min="3" max="3" width="23.28515625" customWidth="1"/>
    <col min="4" max="7" width="20.5703125" customWidth="1"/>
    <col min="8" max="9" width="24.28515625" customWidth="1"/>
  </cols>
  <sheetData>
    <row r="1" spans="1:7" ht="26.25" x14ac:dyDescent="0.4">
      <c r="A1" s="54" t="s">
        <v>32</v>
      </c>
      <c r="B1" s="54"/>
      <c r="C1" s="54"/>
      <c r="D1" s="54" t="s">
        <v>43</v>
      </c>
    </row>
    <row r="2" spans="1:7" ht="15" customHeight="1" thickBot="1" x14ac:dyDescent="0.45">
      <c r="A2" s="55" t="s">
        <v>33</v>
      </c>
      <c r="B2" s="54"/>
      <c r="C2" s="54"/>
      <c r="D2" s="54"/>
    </row>
    <row r="3" spans="1:7" ht="24" thickBot="1" x14ac:dyDescent="0.4">
      <c r="A3" s="11" t="s">
        <v>13</v>
      </c>
      <c r="B3" s="11"/>
      <c r="C3" s="10"/>
    </row>
    <row r="4" spans="1:7" ht="15.75" thickTop="1" x14ac:dyDescent="0.25">
      <c r="A4" s="2" t="s">
        <v>0</v>
      </c>
      <c r="B4" s="2"/>
    </row>
    <row r="5" spans="1:7" x14ac:dyDescent="0.25">
      <c r="A5" s="2" t="s">
        <v>2</v>
      </c>
      <c r="B5" s="2"/>
    </row>
    <row r="6" spans="1:7" x14ac:dyDescent="0.25">
      <c r="A6" s="2" t="s">
        <v>1</v>
      </c>
      <c r="B6" s="3"/>
    </row>
    <row r="7" spans="1:7" ht="19.5" x14ac:dyDescent="0.3">
      <c r="A7" s="5" t="s">
        <v>3</v>
      </c>
      <c r="B7" s="3"/>
    </row>
    <row r="8" spans="1:7" x14ac:dyDescent="0.25">
      <c r="A8" s="28" t="s">
        <v>36</v>
      </c>
      <c r="B8" s="28" t="s">
        <v>4</v>
      </c>
      <c r="C8" s="28" t="s">
        <v>20</v>
      </c>
      <c r="D8" s="28" t="s">
        <v>34</v>
      </c>
      <c r="E8" s="28" t="s">
        <v>35</v>
      </c>
      <c r="F8" s="28" t="s">
        <v>23</v>
      </c>
      <c r="G8" s="28" t="s">
        <v>24</v>
      </c>
    </row>
    <row r="9" spans="1:7" x14ac:dyDescent="0.25">
      <c r="A9" s="38" t="s">
        <v>65</v>
      </c>
      <c r="B9" s="39"/>
      <c r="C9" s="40" t="s">
        <v>21</v>
      </c>
      <c r="D9" s="39"/>
      <c r="E9" s="41"/>
      <c r="F9" s="42"/>
      <c r="G9" s="43"/>
    </row>
    <row r="10" spans="1:7" x14ac:dyDescent="0.25">
      <c r="A10" s="38"/>
      <c r="B10" s="75"/>
      <c r="C10" s="76" t="s">
        <v>66</v>
      </c>
      <c r="D10" s="75"/>
      <c r="E10" s="77"/>
      <c r="F10" s="78"/>
      <c r="G10" s="78"/>
    </row>
    <row r="11" spans="1:7" x14ac:dyDescent="0.25">
      <c r="A11" s="38"/>
      <c r="B11" s="75"/>
      <c r="C11" s="76" t="s">
        <v>37</v>
      </c>
      <c r="D11" s="75"/>
      <c r="E11" s="77"/>
      <c r="F11" s="79"/>
      <c r="G11" s="78"/>
    </row>
    <row r="12" spans="1:7" x14ac:dyDescent="0.25">
      <c r="A12" s="38"/>
      <c r="B12" s="75"/>
      <c r="C12" s="76" t="s">
        <v>67</v>
      </c>
      <c r="D12" s="75"/>
      <c r="E12" s="77"/>
      <c r="F12" s="79"/>
      <c r="G12" s="78"/>
    </row>
    <row r="13" spans="1:7" x14ac:dyDescent="0.25">
      <c r="A13" s="38"/>
      <c r="B13" s="75"/>
      <c r="C13" s="76"/>
      <c r="D13" s="75"/>
      <c r="E13" s="77"/>
      <c r="F13" s="79"/>
      <c r="G13" s="78"/>
    </row>
    <row r="14" spans="1:7" x14ac:dyDescent="0.25">
      <c r="A14" s="38"/>
      <c r="B14" s="75"/>
      <c r="C14" s="76"/>
      <c r="D14" s="75"/>
      <c r="E14" s="77"/>
      <c r="F14" s="79"/>
      <c r="G14" s="78"/>
    </row>
    <row r="15" spans="1:7" x14ac:dyDescent="0.25">
      <c r="A15" s="44"/>
      <c r="B15" s="29"/>
      <c r="C15" s="29"/>
      <c r="D15" s="29"/>
      <c r="E15" s="44"/>
    </row>
    <row r="16" spans="1:7" x14ac:dyDescent="0.25">
      <c r="E16" s="2"/>
      <c r="F16" s="7"/>
    </row>
    <row r="17" spans="5:6" x14ac:dyDescent="0.25">
      <c r="E17" s="2"/>
      <c r="F17" s="7"/>
    </row>
  </sheetData>
  <conditionalFormatting sqref="A15">
    <cfRule type="notContainsBlanks" dxfId="21" priority="2">
      <formula>LEN(TRIM(A15))&gt;0</formula>
    </cfRule>
  </conditionalFormatting>
  <dataValidations count="4">
    <dataValidation allowBlank="1" showInputMessage="1" showErrorMessage="1" promptTitle="Planned Capacity" prompt="Enter the planned enrollment for the given semester. Leave blank if not offered." sqref="D9:E15" xr:uid="{00000000-0002-0000-0000-000000000000}"/>
    <dataValidation allowBlank="1" showInputMessage="1" showErrorMessage="1" promptTitle="Previous Enrollment" prompt="Enter enrollment for the given semester. Leave blank if not offered." sqref="F9:G15" xr:uid="{00000000-0002-0000-0000-000001000000}"/>
    <dataValidation type="list" allowBlank="1" showInputMessage="1" showErrorMessage="1" promptTitle="Instruction Mode" prompt="If sections with multiple instruction modes, add one row per mode." sqref="C9:C15" xr:uid="{00000000-0002-0000-0000-000002000000}">
      <formula1>"Classroom,Online only,Online (some classroom),N/A"</formula1>
    </dataValidation>
    <dataValidation allowBlank="1" showInputMessage="1" showErrorMessage="1" promptTitle="Course Title" prompt="Add topic if applicable" sqref="A9:A15" xr:uid="{00000000-0002-0000-0000-000004000000}"/>
  </dataValidations>
  <pageMargins left="0.25" right="0.25" top="0.75" bottom="0.75" header="0.3" footer="0.3"/>
  <pageSetup scale="80" fitToHeight="0" orientation="landscape" r:id="rId1"/>
  <headerFooter>
    <oddFooter>&amp;L&amp;D&amp;R&amp;Z&amp;F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showGridLines="0" tabSelected="1" zoomScaleNormal="100" workbookViewId="0">
      <selection activeCell="G2" sqref="G2"/>
    </sheetView>
  </sheetViews>
  <sheetFormatPr defaultRowHeight="15" x14ac:dyDescent="0.25"/>
  <cols>
    <col min="1" max="1" width="39.28515625" style="34" customWidth="1"/>
    <col min="2" max="2" width="16.42578125" style="34" customWidth="1"/>
    <col min="3" max="3" width="20" style="34" customWidth="1"/>
    <col min="4" max="4" width="21.140625" style="34" customWidth="1"/>
    <col min="5" max="10" width="12.85546875" style="34" customWidth="1"/>
    <col min="11" max="16384" width="9.140625" style="34"/>
  </cols>
  <sheetData>
    <row r="1" spans="1:10" ht="23.25" x14ac:dyDescent="0.35">
      <c r="A1" s="73" t="s">
        <v>22</v>
      </c>
      <c r="B1" s="73"/>
      <c r="C1" s="73"/>
      <c r="D1" s="73"/>
      <c r="E1" s="10"/>
      <c r="F1" s="74"/>
      <c r="G1" s="74"/>
    </row>
    <row r="2" spans="1:10" x14ac:dyDescent="0.25">
      <c r="A2" s="72" t="str">
        <f>IF(DeptName="","Enter department/center name on 'Dept Details worksheet",DeptName)</f>
        <v>Enter department/center name on 'Dept Details worksheet</v>
      </c>
      <c r="B2" s="72"/>
      <c r="C2" s="72"/>
      <c r="D2" s="31"/>
      <c r="E2" s="31"/>
      <c r="F2" s="37"/>
      <c r="G2" s="37"/>
      <c r="H2" s="37"/>
    </row>
    <row r="3" spans="1:10" x14ac:dyDescent="0.25">
      <c r="A3" s="12" t="s">
        <v>15</v>
      </c>
      <c r="B3" s="13">
        <v>42230</v>
      </c>
      <c r="F3" s="37"/>
      <c r="G3" s="37"/>
      <c r="H3" s="37"/>
    </row>
    <row r="4" spans="1:10" x14ac:dyDescent="0.25">
      <c r="A4" s="35"/>
      <c r="F4" s="37"/>
      <c r="G4" s="37"/>
      <c r="H4" s="37"/>
    </row>
    <row r="5" spans="1:10" ht="19.5" x14ac:dyDescent="0.3">
      <c r="A5" s="71" t="s">
        <v>17</v>
      </c>
      <c r="B5" s="71"/>
      <c r="C5" s="71"/>
    </row>
    <row r="6" spans="1:10" x14ac:dyDescent="0.25">
      <c r="A6" s="2" t="s">
        <v>16</v>
      </c>
      <c r="B6" s="2" t="s">
        <v>39</v>
      </c>
      <c r="C6" s="2" t="s">
        <v>38</v>
      </c>
      <c r="D6" s="2" t="s">
        <v>9</v>
      </c>
      <c r="E6" s="2" t="s">
        <v>5</v>
      </c>
      <c r="F6" s="2" t="s">
        <v>7</v>
      </c>
      <c r="G6" s="2" t="s">
        <v>26</v>
      </c>
      <c r="H6" s="2" t="s">
        <v>27</v>
      </c>
      <c r="I6" s="2" t="s">
        <v>28</v>
      </c>
      <c r="J6" s="2" t="s">
        <v>31</v>
      </c>
    </row>
    <row r="7" spans="1:10" x14ac:dyDescent="0.25">
      <c r="A7" s="23" t="s">
        <v>65</v>
      </c>
      <c r="B7" s="8">
        <v>1</v>
      </c>
      <c r="C7" s="69"/>
      <c r="D7" s="45" t="s">
        <v>14</v>
      </c>
      <c r="E7" s="9" t="s">
        <v>19</v>
      </c>
      <c r="F7" s="4">
        <v>0.5</v>
      </c>
      <c r="G7" s="50">
        <f>IF(TA[[#This Row],[Course]]="","",(TARate*TA[[#This Row],[Appt %]]*0.502564102564102)*TA[[#This Row],[Fall '# of TAs]])</f>
        <v>10611.641025641014</v>
      </c>
      <c r="H7" s="48">
        <f>IFERROR(ROUND(IF(TA[[#This Row],[Fall Salary]]="","",TA[[#This Row],[Fall Salary]]/TARate),3),0)</f>
        <v>0.251</v>
      </c>
      <c r="I7" s="51">
        <f>IF(TA[[#This Row],[Course]]="","",(TARate*TA[[#This Row],[Appt %]]*0.497435897435897)*TA[[#This Row],[Spring '# of TAs]])</f>
        <v>0</v>
      </c>
      <c r="J7" s="48">
        <f>IFERROR(ROUND(IF(TA[[#This Row],[Spring Salary]]="","",TA[[#This Row],[Spring Salary]]/TARate),3),0)</f>
        <v>0</v>
      </c>
    </row>
    <row r="8" spans="1:10" x14ac:dyDescent="0.25">
      <c r="A8" s="20" t="s">
        <v>65</v>
      </c>
      <c r="B8" s="8"/>
      <c r="C8" s="69"/>
      <c r="D8" s="45"/>
      <c r="E8" s="9" t="s">
        <v>19</v>
      </c>
      <c r="F8" s="4">
        <v>0.5</v>
      </c>
      <c r="G8" s="50">
        <f>IF(TA[[#This Row],[Course]]="","",(TARate*TA[[#This Row],[Appt %]]*0.502564102564102)*TA[[#This Row],[Fall '# of TAs]])</f>
        <v>0</v>
      </c>
      <c r="H8" s="49">
        <f>IFERROR(ROUND(IF(TA[[#This Row],[Fall Salary]]="","",TA[[#This Row],[Fall Salary]]/TARate),3),0)</f>
        <v>0</v>
      </c>
      <c r="I8" s="51">
        <f>IF(TA[[#This Row],[Course]]="","",(TARate*TA[[#This Row],[Appt %]]*0.497435897435897)*TA[[#This Row],[Spring '# of TAs]])</f>
        <v>0</v>
      </c>
      <c r="J8" s="48">
        <f>IFERROR(ROUND(IF(TA[[#This Row],[Spring Salary]]="","",TA[[#This Row],[Spring Salary]]/TARate),3),0)</f>
        <v>0</v>
      </c>
    </row>
    <row r="9" spans="1:10" x14ac:dyDescent="0.25">
      <c r="A9" s="23" t="s">
        <v>65</v>
      </c>
      <c r="B9" s="8"/>
      <c r="C9" s="69"/>
      <c r="D9" s="45"/>
      <c r="E9" s="9" t="s">
        <v>19</v>
      </c>
      <c r="F9" s="4">
        <v>0.5</v>
      </c>
      <c r="G9" s="50">
        <f>IF(TA[[#This Row],[Course]]="","",(TARate*TA[[#This Row],[Appt %]]*0.502564102564102)*TA[[#This Row],[Fall '# of TAs]])</f>
        <v>0</v>
      </c>
      <c r="H9" s="49">
        <f>IFERROR(ROUND(IF(TA[[#This Row],[Fall Salary]]="","",TA[[#This Row],[Fall Salary]]/TARate),3),0)</f>
        <v>0</v>
      </c>
      <c r="I9" s="51">
        <f>IF(TA[[#This Row],[Course]]="","",(TARate*TA[[#This Row],[Appt %]]*0.497435897435897)*TA[[#This Row],[Spring '# of TAs]])</f>
        <v>0</v>
      </c>
      <c r="J9" s="48">
        <f>IFERROR(ROUND(IF(TA[[#This Row],[Spring Salary]]="","",TA[[#This Row],[Spring Salary]]/TARate),3),0)</f>
        <v>0</v>
      </c>
    </row>
    <row r="10" spans="1:10" x14ac:dyDescent="0.25">
      <c r="A10" s="23" t="s">
        <v>65</v>
      </c>
      <c r="B10" s="8"/>
      <c r="C10" s="69"/>
      <c r="D10" s="45"/>
      <c r="E10" s="9" t="s">
        <v>19</v>
      </c>
      <c r="F10" s="4">
        <v>0.5</v>
      </c>
      <c r="G10" s="50">
        <f>IF(TA[[#This Row],[Course]]="","",(TARate*TA[[#This Row],[Appt %]]*0.502564102564102)*TA[[#This Row],[Fall '# of TAs]])</f>
        <v>0</v>
      </c>
      <c r="H10" s="49">
        <f>IFERROR(ROUND(IF(TA[[#This Row],[Fall Salary]]="","",TA[[#This Row],[Fall Salary]]/TARate),3),0)</f>
        <v>0</v>
      </c>
      <c r="I10" s="51">
        <f>IF(TA[[#This Row],[Course]]="","",(TARate*TA[[#This Row],[Appt %]]*0.497435897435897)*TA[[#This Row],[Spring '# of TAs]])</f>
        <v>0</v>
      </c>
      <c r="J10" s="48">
        <f>IFERROR(ROUND(IF(TA[[#This Row],[Spring Salary]]="","",TA[[#This Row],[Spring Salary]]/TARate),3),0)</f>
        <v>0</v>
      </c>
    </row>
    <row r="11" spans="1:10" x14ac:dyDescent="0.25">
      <c r="A11" s="23" t="s">
        <v>65</v>
      </c>
      <c r="B11" s="8"/>
      <c r="C11" s="69"/>
      <c r="D11" s="45"/>
      <c r="E11" s="9"/>
      <c r="F11" s="4">
        <v>0.5</v>
      </c>
      <c r="G11" s="50">
        <f>IF(TA[[#This Row],[Course]]="","",(TARate*TA[[#This Row],[Appt %]]*0.502564102564102)*TA[[#This Row],[Fall '# of TAs]])</f>
        <v>0</v>
      </c>
      <c r="H11" s="49">
        <f>IFERROR(ROUND(IF(TA[[#This Row],[Fall Salary]]="","",TA[[#This Row],[Fall Salary]]/TARate),3),0)</f>
        <v>0</v>
      </c>
      <c r="I11" s="50">
        <f>IF(TA[[#This Row],[Course]]="","",(TARate*TA[[#This Row],[Appt %]]*0.497435897435897)*TA[[#This Row],[Spring '# of TAs]])</f>
        <v>0</v>
      </c>
      <c r="J11" s="48">
        <f>IFERROR(ROUND(IF(TA[[#This Row],[Spring Salary]]="","",TA[[#This Row],[Spring Salary]]/TARate),3),0)</f>
        <v>0</v>
      </c>
    </row>
    <row r="12" spans="1:10" x14ac:dyDescent="0.25">
      <c r="A12" s="20"/>
      <c r="B12" s="8"/>
      <c r="C12" s="69"/>
      <c r="D12" s="45"/>
      <c r="E12" s="9"/>
      <c r="F12" s="4"/>
      <c r="G12" s="50" t="str">
        <f>IF(TA[[#This Row],[Course]]="","",(TARate*TA[[#This Row],[Appt %]]*0.502564102564102)*TA[[#This Row],[Fall '# of TAs]])</f>
        <v/>
      </c>
      <c r="H12" s="49">
        <f>IFERROR(ROUND(IF(TA[[#This Row],[Fall Salary]]="","",TA[[#This Row],[Fall Salary]]/TARate),3),0)</f>
        <v>0</v>
      </c>
      <c r="I12" s="51" t="str">
        <f>IF(TA[[#This Row],[Course]]="","",(TARate*TA[[#This Row],[Appt %]]*0.497435897435897)*TA[[#This Row],[Spring '# of TAs]])</f>
        <v/>
      </c>
      <c r="J12" s="48">
        <f>IFERROR(ROUND(IF(TA[[#This Row],[Spring Salary]]="","",TA[[#This Row],[Spring Salary]]/TARate),3),0)</f>
        <v>0</v>
      </c>
    </row>
    <row r="13" spans="1:10" x14ac:dyDescent="0.25">
      <c r="A13" s="20"/>
      <c r="B13" s="8"/>
      <c r="C13" s="69"/>
      <c r="D13" s="45"/>
      <c r="E13" s="9"/>
      <c r="F13" s="4"/>
      <c r="G13" s="50" t="str">
        <f>IF(TA[[#This Row],[Course]]="","",(TARate*TA[[#This Row],[Appt %]]*0.502564102564102)*TA[[#This Row],[Fall '# of TAs]])</f>
        <v/>
      </c>
      <c r="H13" s="49">
        <f>IFERROR(ROUND(IF(TA[[#This Row],[Fall Salary]]="","",TA[[#This Row],[Fall Salary]]/TARate),3),0)</f>
        <v>0</v>
      </c>
      <c r="I13" s="51" t="str">
        <f>IF(TA[[#This Row],[Course]]="","",(TARate*TA[[#This Row],[Appt %]]*0.497435897435897)*TA[[#This Row],[Spring '# of TAs]])</f>
        <v/>
      </c>
      <c r="J13" s="48">
        <f>IFERROR(ROUND(IF(TA[[#This Row],[Spring Salary]]="","",TA[[#This Row],[Spring Salary]]/TARate),3),0)</f>
        <v>0</v>
      </c>
    </row>
    <row r="14" spans="1:10" x14ac:dyDescent="0.25">
      <c r="A14" s="20"/>
      <c r="B14" s="8"/>
      <c r="C14" s="69"/>
      <c r="D14" s="45"/>
      <c r="E14" s="9"/>
      <c r="F14" s="4"/>
      <c r="G14" s="50" t="str">
        <f>IF(TA[[#This Row],[Course]]="","",(TARate*TA[[#This Row],[Appt %]]*0.502564102564102)*TA[[#This Row],[Fall '# of TAs]])</f>
        <v/>
      </c>
      <c r="H14" s="49">
        <f>IFERROR(ROUND(IF(TA[[#This Row],[Fall Salary]]="","",TA[[#This Row],[Fall Salary]]/TARate),3),0)</f>
        <v>0</v>
      </c>
      <c r="I14" s="51" t="str">
        <f>IF(TA[[#This Row],[Course]]="","",(TARate*TA[[#This Row],[Appt %]]*0.497435897435897)*TA[[#This Row],[Spring '# of TAs]])</f>
        <v/>
      </c>
      <c r="J14" s="48">
        <f>IFERROR(ROUND(IF(TA[[#This Row],[Spring Salary]]="","",TA[[#This Row],[Spring Salary]]/TARate),3),0)</f>
        <v>0</v>
      </c>
    </row>
    <row r="15" spans="1:10" x14ac:dyDescent="0.25">
      <c r="A15" s="20"/>
      <c r="B15" s="8"/>
      <c r="C15" s="69"/>
      <c r="D15" s="45"/>
      <c r="E15" s="9"/>
      <c r="F15" s="4"/>
      <c r="G15" s="50" t="str">
        <f>IF(TA[[#This Row],[Course]]="","",(TARate*TA[[#This Row],[Appt %]]*0.502564102564102)*TA[[#This Row],[Fall '# of TAs]])</f>
        <v/>
      </c>
      <c r="H15" s="49">
        <f>IFERROR(ROUND(IF(TA[[#This Row],[Fall Salary]]="","",TA[[#This Row],[Fall Salary]]/TARate),3),0)</f>
        <v>0</v>
      </c>
      <c r="I15" s="51" t="str">
        <f>IF(TA[[#This Row],[Course]]="","",(TARate*TA[[#This Row],[Appt %]]*0.497435897435897)*TA[[#This Row],[Spring '# of TAs]])</f>
        <v/>
      </c>
      <c r="J15" s="48">
        <f>IFERROR(ROUND(IF(TA[[#This Row],[Spring Salary]]="","",TA[[#This Row],[Spring Salary]]/TARate),3),0)</f>
        <v>0</v>
      </c>
    </row>
    <row r="16" spans="1:10" x14ac:dyDescent="0.25">
      <c r="A16" s="20"/>
      <c r="B16" s="8"/>
      <c r="C16" s="69"/>
      <c r="D16" s="45"/>
      <c r="E16" s="9"/>
      <c r="F16" s="4"/>
      <c r="G16" s="50" t="str">
        <f>IF(TA[[#This Row],[Course]]="","",(TARate*TA[[#This Row],[Appt %]]*0.502564102564102)*TA[[#This Row],[Fall '# of TAs]])</f>
        <v/>
      </c>
      <c r="H16" s="49">
        <f>IFERROR(ROUND(IF(TA[[#This Row],[Fall Salary]]="","",TA[[#This Row],[Fall Salary]]/TARate),3),0)</f>
        <v>0</v>
      </c>
      <c r="I16" s="51" t="str">
        <f>IF(TA[[#This Row],[Course]]="","",(TARate*TA[[#This Row],[Appt %]]*0.497435897435897)*TA[[#This Row],[Spring '# of TAs]])</f>
        <v/>
      </c>
      <c r="J16" s="48">
        <f>IFERROR(ROUND(IF(TA[[#This Row],[Spring Salary]]="","",TA[[#This Row],[Spring Salary]]/TARate),3),0)</f>
        <v>0</v>
      </c>
    </row>
    <row r="17" spans="1:10" x14ac:dyDescent="0.25">
      <c r="A17" s="36"/>
      <c r="B17" s="36"/>
      <c r="C17" s="8">
        <f>SUBTOTAL(109,TA[Spring '# of TAs])</f>
        <v>0</v>
      </c>
      <c r="D17" s="36"/>
      <c r="E17" s="2"/>
      <c r="F17" s="2"/>
      <c r="G17" s="32">
        <f>SUBTOTAL(109,TA[Fall Salary])</f>
        <v>10611.641025641014</v>
      </c>
      <c r="H17" s="33">
        <f>SUBTOTAL(109,TA[Fall FTE])</f>
        <v>0.251</v>
      </c>
      <c r="I17" s="32">
        <f>SUBTOTAL(109,TA[Spring Salary])</f>
        <v>0</v>
      </c>
      <c r="J17" s="33">
        <f>SUBTOTAL(109,TA[Spring FTE])</f>
        <v>0</v>
      </c>
    </row>
    <row r="18" spans="1:10" ht="19.5" x14ac:dyDescent="0.3">
      <c r="A18" s="71" t="s">
        <v>18</v>
      </c>
      <c r="B18" s="71"/>
    </row>
    <row r="19" spans="1:10" x14ac:dyDescent="0.25">
      <c r="A19" s="2" t="s">
        <v>6</v>
      </c>
      <c r="B19" s="2" t="s">
        <v>29</v>
      </c>
      <c r="C19" s="2" t="s">
        <v>30</v>
      </c>
      <c r="D19" s="2" t="s">
        <v>5</v>
      </c>
      <c r="E19" s="2" t="s">
        <v>26</v>
      </c>
      <c r="F19" s="2" t="s">
        <v>28</v>
      </c>
    </row>
    <row r="20" spans="1:10" x14ac:dyDescent="0.25">
      <c r="A20" s="23" t="s">
        <v>65</v>
      </c>
      <c r="B20" s="8">
        <v>0</v>
      </c>
      <c r="C20" s="8">
        <v>0</v>
      </c>
      <c r="D20" s="9" t="s">
        <v>19</v>
      </c>
      <c r="E20" s="70">
        <f>Reader[[#This Row],[Fall Hours]]*22.22</f>
        <v>0</v>
      </c>
      <c r="F20" s="47">
        <f>Reader[[#This Row],[Spring Hours]]*22.22</f>
        <v>0</v>
      </c>
    </row>
    <row r="21" spans="1:10" x14ac:dyDescent="0.25">
      <c r="A21" s="36"/>
      <c r="B21" s="8">
        <f>SUBTOTAL(109,Reader[Fall Hours])</f>
        <v>0</v>
      </c>
      <c r="C21" s="8"/>
      <c r="D21" s="2"/>
      <c r="E21" s="21">
        <f>SUBTOTAL(109,Reader[Fall Salary])</f>
        <v>0</v>
      </c>
      <c r="F21" s="36"/>
    </row>
  </sheetData>
  <dataConsolidate/>
  <mergeCells count="5">
    <mergeCell ref="A5:C5"/>
    <mergeCell ref="A18:B18"/>
    <mergeCell ref="A2:C2"/>
    <mergeCell ref="A1:D1"/>
    <mergeCell ref="F1:G1"/>
  </mergeCells>
  <conditionalFormatting sqref="F2:H4">
    <cfRule type="notContainsBlanks" dxfId="20" priority="7">
      <formula>LEN(TRIM(F2))&gt;0</formula>
    </cfRule>
  </conditionalFormatting>
  <dataValidations xWindow="165" yWindow="431" count="6">
    <dataValidation allowBlank="1" showInputMessage="1" showErrorMessage="1" promptTitle="Notes" prompt="Add comments to 'Notes' tab if changing appointment structure." sqref="D7:D16" xr:uid="{00000000-0002-0000-0100-000003000000}"/>
    <dataValidation allowBlank="1" showInputMessage="1" showErrorMessage="1" promptTitle="Do not modify" prompt="Do not modify" sqref="G7:J16 E20:F20" xr:uid="{00000000-0002-0000-0100-000004000000}"/>
    <dataValidation type="list" allowBlank="1" showErrorMessage="1" errorTitle="Funding" error="Please update this field to match one of the available funds on the 'Funding Details' worksheet (under the 'Fund Name' column)." sqref="E7:E16" xr:uid="{00000000-0002-0000-0100-000006000000}">
      <formula1>"TA 101 Budget,Other"</formula1>
    </dataValidation>
    <dataValidation type="list" allowBlank="1" showInputMessage="1" showErrorMessage="1" promptTitle="Courses" prompt="Select from drop down. Add courses to 'Courses' page as needed." sqref="A7:A16 A20" xr:uid="{00000000-0002-0000-0100-000001000000}">
      <formula1>DropCourse</formula1>
    </dataValidation>
    <dataValidation allowBlank="1" showErrorMessage="1" sqref="B7:C16" xr:uid="{2DD7057A-DBFE-4AED-8716-60CC27A16542}"/>
    <dataValidation type="list" allowBlank="1" showErrorMessage="1" errorTitle="Funding" error="Please update this field to match one of the available funds on the 'Funding Details' worksheet (under the 'Fund Name' column)." sqref="D20" xr:uid="{00000000-0002-0000-0100-000000000000}">
      <formula1>"TA 101 Budget,Other"</formula1>
    </dataValidation>
  </dataValidations>
  <pageMargins left="0.25" right="0.25" top="0.75" bottom="0.75" header="0.3" footer="0.3"/>
  <pageSetup scale="76" fitToHeight="0" orientation="landscape" r:id="rId1"/>
  <headerFooter>
    <oddFooter>&amp;L&amp;D&amp;R&amp;Z&amp;F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"/>
  <sheetViews>
    <sheetView showGridLines="0" zoomScaleNormal="100" workbookViewId="0">
      <selection activeCell="A5" sqref="A5"/>
    </sheetView>
  </sheetViews>
  <sheetFormatPr defaultRowHeight="15" x14ac:dyDescent="0.25"/>
  <cols>
    <col min="1" max="1" width="117.7109375" customWidth="1"/>
  </cols>
  <sheetData>
    <row r="1" spans="1:5" ht="23.25" x14ac:dyDescent="0.35">
      <c r="A1" s="52" t="s">
        <v>25</v>
      </c>
    </row>
    <row r="2" spans="1:5" x14ac:dyDescent="0.25">
      <c r="A2" s="31" t="str">
        <f>IF(DeptName="","Enter department/center name on 'Dept Details worksheet",DeptName)</f>
        <v>Enter department/center name on 'Dept Details worksheet</v>
      </c>
      <c r="B2" s="22"/>
      <c r="C2" s="22"/>
      <c r="D2" s="22"/>
      <c r="E2" s="22"/>
    </row>
    <row r="3" spans="1:5" ht="51.75" x14ac:dyDescent="0.25">
      <c r="A3" s="56" t="s">
        <v>44</v>
      </c>
    </row>
    <row r="4" spans="1:5" x14ac:dyDescent="0.25">
      <c r="A4" s="2" t="s">
        <v>8</v>
      </c>
    </row>
    <row r="5" spans="1:5" ht="45" customHeight="1" x14ac:dyDescent="0.25">
      <c r="A5" s="6"/>
    </row>
    <row r="6" spans="1:5" ht="45" customHeight="1" x14ac:dyDescent="0.25">
      <c r="A6" s="6"/>
    </row>
    <row r="7" spans="1:5" ht="45" customHeight="1" x14ac:dyDescent="0.25">
      <c r="A7" s="6"/>
    </row>
    <row r="8" spans="1:5" ht="45" customHeight="1" x14ac:dyDescent="0.25">
      <c r="A8" s="6"/>
    </row>
    <row r="9" spans="1:5" ht="45" customHeight="1" x14ac:dyDescent="0.25">
      <c r="A9" s="6"/>
    </row>
  </sheetData>
  <pageMargins left="0.25" right="0.25" top="0.75" bottom="0.75" header="0.3" footer="0.3"/>
  <pageSetup fitToHeight="0" orientation="landscape" r:id="rId1"/>
  <headerFooter>
    <oddFooter>&amp;L&amp;D&amp;R&amp;Z&amp;F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3"/>
  <sheetViews>
    <sheetView showGridLines="0" zoomScaleNormal="100" workbookViewId="0">
      <selection activeCell="J20" sqref="J20"/>
    </sheetView>
  </sheetViews>
  <sheetFormatPr defaultRowHeight="15" x14ac:dyDescent="0.25"/>
  <cols>
    <col min="1" max="1" width="43.5703125" bestFit="1" customWidth="1"/>
    <col min="2" max="7" width="14.28515625" customWidth="1"/>
    <col min="8" max="8" width="13.140625" bestFit="1" customWidth="1"/>
  </cols>
  <sheetData>
    <row r="1" spans="1:9" ht="21" customHeight="1" x14ac:dyDescent="0.35">
      <c r="A1" s="53" t="s">
        <v>42</v>
      </c>
      <c r="B1" s="53"/>
      <c r="C1" s="53"/>
      <c r="D1" s="53"/>
    </row>
    <row r="2" spans="1:9" x14ac:dyDescent="0.25">
      <c r="A2" s="46" t="str">
        <f>IF(DeptName="","Enter department/center name on 'Dept Details worksheet",DeptName &amp; " (no entry on this page)")</f>
        <v>Enter department/center name on 'Dept Details worksheet</v>
      </c>
      <c r="B2" s="22"/>
      <c r="C2" s="22"/>
      <c r="D2" s="22"/>
      <c r="E2" s="22"/>
      <c r="F2" s="22"/>
      <c r="G2" s="22"/>
    </row>
    <row r="3" spans="1:9" ht="15.75" thickBot="1" x14ac:dyDescent="0.3">
      <c r="A3" s="62" t="s">
        <v>40</v>
      </c>
      <c r="C3" s="22"/>
      <c r="D3" s="22"/>
      <c r="E3" s="22"/>
      <c r="F3" s="22"/>
      <c r="G3" s="22"/>
    </row>
    <row r="4" spans="1:9" ht="30" customHeight="1" x14ac:dyDescent="0.25">
      <c r="A4" s="65" t="s">
        <v>51</v>
      </c>
      <c r="B4" s="66" t="s">
        <v>45</v>
      </c>
      <c r="C4" s="67" t="s">
        <v>46</v>
      </c>
      <c r="D4" s="68" t="s">
        <v>47</v>
      </c>
      <c r="E4" s="67" t="s">
        <v>48</v>
      </c>
      <c r="F4" s="67" t="s">
        <v>49</v>
      </c>
      <c r="G4" s="67" t="s">
        <v>50</v>
      </c>
      <c r="H4" s="22"/>
      <c r="I4" s="22"/>
    </row>
    <row r="5" spans="1:9" x14ac:dyDescent="0.25">
      <c r="A5" s="25" t="s">
        <v>52</v>
      </c>
      <c r="B5" s="15">
        <f>SUMIF(TA[Funding],"TA 101 Budget",TA[Fall Salary])</f>
        <v>10611.641025641014</v>
      </c>
      <c r="C5" s="15">
        <f>SUMIF(TA[Funding],"TA 101 Budget",TA[Spring Salary])</f>
        <v>0</v>
      </c>
      <c r="D5" s="26">
        <f>B5/TARate</f>
        <v>0.251282051282051</v>
      </c>
      <c r="E5" s="30">
        <f>C5/TARate</f>
        <v>0</v>
      </c>
      <c r="F5" s="16">
        <f>SUMIF(Reader[Funding],"TA 101 Budget",Reader[Fall Salary])</f>
        <v>0</v>
      </c>
      <c r="G5" s="16">
        <f>SUMIF(Reader[Funding],"TA 101 Budget",Reader[Spring Salary])</f>
        <v>0</v>
      </c>
      <c r="H5" s="22"/>
      <c r="I5" s="22"/>
    </row>
    <row r="6" spans="1:9" x14ac:dyDescent="0.25">
      <c r="A6" s="25" t="s">
        <v>53</v>
      </c>
      <c r="B6" s="15">
        <f>SUMIF(TA[Funding],"Other",TA[Fall Salary])</f>
        <v>0</v>
      </c>
      <c r="C6" s="15">
        <f>SUMIF(TA[Funding],"Other",TA[Spring Salary])</f>
        <v>0</v>
      </c>
      <c r="D6" s="30">
        <f>B6/TARate</f>
        <v>0</v>
      </c>
      <c r="E6" s="30">
        <f>C6/TARate</f>
        <v>0</v>
      </c>
      <c r="F6" s="16">
        <f>SUMIF(Reader[Funding],"Other",Reader[Fall Salary])</f>
        <v>0</v>
      </c>
      <c r="G6" s="16">
        <f>SUMIF(Reader[Funding],"Other",Reader[Spring Salary])</f>
        <v>0</v>
      </c>
      <c r="H6" s="22"/>
      <c r="I6" s="22"/>
    </row>
    <row r="7" spans="1:9" x14ac:dyDescent="0.25">
      <c r="A7" s="63" t="s">
        <v>54</v>
      </c>
      <c r="B7" s="19">
        <f>SUBTOTAL(109,Table4[Fall TA Salary])</f>
        <v>10611.641025641014</v>
      </c>
      <c r="C7" s="19">
        <f>SUBTOTAL(109,Table4[Spring TA Salary])</f>
        <v>0</v>
      </c>
      <c r="D7" s="64">
        <f>SUBTOTAL(109,Table4[Fall TA FTE])</f>
        <v>0.251282051282051</v>
      </c>
      <c r="E7" s="64">
        <f>SUBTOTAL(109,Table4[Spring TA FTE])</f>
        <v>0</v>
      </c>
      <c r="F7" s="19">
        <f>SUBTOTAL(109,Table4[Fall Reader Salary])</f>
        <v>0</v>
      </c>
      <c r="G7" s="19">
        <f>SUBTOTAL(109,Table4[Spring Reader Salary])</f>
        <v>0</v>
      </c>
    </row>
    <row r="8" spans="1:9" x14ac:dyDescent="0.25">
      <c r="A8" s="25"/>
      <c r="B8" s="24"/>
      <c r="C8" s="30"/>
      <c r="D8" s="24"/>
      <c r="E8" s="24"/>
      <c r="F8" s="22"/>
      <c r="G8" s="22"/>
    </row>
    <row r="9" spans="1:9" ht="15.75" thickBot="1" x14ac:dyDescent="0.3">
      <c r="A9" s="57" t="s">
        <v>41</v>
      </c>
      <c r="B9" s="24"/>
      <c r="C9" s="30"/>
      <c r="D9" s="24"/>
      <c r="E9" s="24"/>
      <c r="F9" s="22"/>
      <c r="G9" s="22"/>
    </row>
    <row r="10" spans="1:9" ht="25.5" x14ac:dyDescent="0.25">
      <c r="A10" s="65" t="s">
        <v>16</v>
      </c>
      <c r="B10" s="66" t="s">
        <v>45</v>
      </c>
      <c r="C10" s="66" t="s">
        <v>46</v>
      </c>
      <c r="D10" s="66" t="s">
        <v>47</v>
      </c>
      <c r="E10" s="66" t="s">
        <v>48</v>
      </c>
      <c r="F10" s="66" t="s">
        <v>49</v>
      </c>
      <c r="G10" s="66" t="s">
        <v>50</v>
      </c>
    </row>
    <row r="11" spans="1:9" x14ac:dyDescent="0.25">
      <c r="A11" s="14" t="str">
        <f>IFERROR(INDEX(Courses[Course Number &amp; Name],ROW()-10,1),"")</f>
        <v>Course 1</v>
      </c>
      <c r="B11" s="15">
        <f>SUMIF(TA[Course],Summary[[#This Row],[Course]],TA[Fall Salary])</f>
        <v>10611.641025641014</v>
      </c>
      <c r="C11" s="15">
        <f>SUMIF(TA[Course],Summary[[#This Row],[Course]],TA[Spring Salary])</f>
        <v>0</v>
      </c>
      <c r="D11" s="26">
        <f>IF(Summary[[#This Row],[Fall TA Salary]]=0,"",Summary[[#This Row],[Fall TA Salary]]/TARate)</f>
        <v>0.251282051282051</v>
      </c>
      <c r="E11" s="26" t="str">
        <f>IF(Summary[[#This Row],[Spring TA Salary]]=0,"",Summary[[#This Row],[Spring TA Salary]]/TARate)</f>
        <v/>
      </c>
      <c r="F11" s="15">
        <f>SUMIF(Reader[Course Number &amp; Title],Summary[[#This Row],[Course]],Reader[Fall Salary])</f>
        <v>0</v>
      </c>
      <c r="G11" s="15">
        <f>SUMIF(Reader[Course Number &amp; Title],Summary[[#This Row],[Course]],Reader[Spring Salary])</f>
        <v>0</v>
      </c>
    </row>
    <row r="12" spans="1:9" x14ac:dyDescent="0.25">
      <c r="A12" s="14">
        <f>IFERROR(INDEX(Courses[Course Number &amp; Name],ROW()-10,1),"")</f>
        <v>0</v>
      </c>
      <c r="B12" s="16">
        <f>SUMIF(TA[Course],Summary[[#This Row],[Course]],TA[Fall Salary])</f>
        <v>0</v>
      </c>
      <c r="C12" s="15">
        <f>SUMIF(TA[Course],Summary[[#This Row],[Course]],TA[Spring Salary])</f>
        <v>0</v>
      </c>
      <c r="D12" s="26" t="str">
        <f>IF(Summary[[#This Row],[Fall TA Salary]]=0,"",Summary[[#This Row],[Fall TA Salary]]/TARate)</f>
        <v/>
      </c>
      <c r="E12" s="26" t="str">
        <f>IF(Summary[[#This Row],[Spring TA Salary]]=0,"",Summary[[#This Row],[Spring TA Salary]]/TARate)</f>
        <v/>
      </c>
      <c r="F12" s="15">
        <f>SUMIF(Reader[Course Number &amp; Title],Summary[[#This Row],[Course]],Reader[Fall Salary])</f>
        <v>0</v>
      </c>
      <c r="G12" s="16">
        <f>SUMIF(Reader[Course Number &amp; Title],Summary[[#This Row],[Course]],Reader[Spring Salary])</f>
        <v>0</v>
      </c>
    </row>
    <row r="13" spans="1:9" x14ac:dyDescent="0.25">
      <c r="A13" s="14">
        <f>IFERROR(INDEX(Courses[Course Number &amp; Name],ROW()-10,1),"")</f>
        <v>0</v>
      </c>
      <c r="B13" s="16">
        <f>SUMIF(TA[Course],Summary[[#This Row],[Course]],TA[Fall Salary])</f>
        <v>0</v>
      </c>
      <c r="C13" s="15">
        <f>SUMIF(TA[Course],Summary[[#This Row],[Course]],TA[Spring Salary])</f>
        <v>0</v>
      </c>
      <c r="D13" s="26" t="str">
        <f>IF(Summary[[#This Row],[Fall TA Salary]]=0,"",Summary[[#This Row],[Fall TA Salary]]/TARate)</f>
        <v/>
      </c>
      <c r="E13" s="26" t="str">
        <f>IF(Summary[[#This Row],[Spring TA Salary]]=0,"",Summary[[#This Row],[Spring TA Salary]]/TARate)</f>
        <v/>
      </c>
      <c r="F13" s="15">
        <f>SUMIF(Reader[Course Number &amp; Title],Summary[[#This Row],[Course]],Reader[Fall Salary])</f>
        <v>0</v>
      </c>
      <c r="G13" s="16">
        <f>SUMIF(Reader[Course Number &amp; Title],Summary[[#This Row],[Course]],Reader[Spring Salary])</f>
        <v>0</v>
      </c>
    </row>
    <row r="14" spans="1:9" x14ac:dyDescent="0.25">
      <c r="A14" s="14">
        <f>IFERROR(INDEX(Courses[Course Number &amp; Name],ROW()-10,1),"")</f>
        <v>0</v>
      </c>
      <c r="B14" s="16">
        <f>SUMIF(TA[Course],Summary[[#This Row],[Course]],TA[Fall Salary])</f>
        <v>0</v>
      </c>
      <c r="C14" s="15">
        <f>SUMIF(TA[Course],Summary[[#This Row],[Course]],TA[Spring Salary])</f>
        <v>0</v>
      </c>
      <c r="D14" s="26" t="str">
        <f>IF(Summary[[#This Row],[Fall TA Salary]]=0,"",Summary[[#This Row],[Fall TA Salary]]/TARate)</f>
        <v/>
      </c>
      <c r="E14" s="26" t="str">
        <f>IF(Summary[[#This Row],[Spring TA Salary]]=0,"",Summary[[#This Row],[Spring TA Salary]]/TARate)</f>
        <v/>
      </c>
      <c r="F14" s="15">
        <f>SUMIF(Reader[Course Number &amp; Title],Summary[[#This Row],[Course]],Reader[Fall Salary])</f>
        <v>0</v>
      </c>
      <c r="G14" s="16">
        <f>SUMIF(Reader[Course Number &amp; Title],Summary[[#This Row],[Course]],Reader[Spring Salary])</f>
        <v>0</v>
      </c>
    </row>
    <row r="15" spans="1:9" x14ac:dyDescent="0.25">
      <c r="A15" s="14">
        <f>IFERROR(INDEX(Courses[Course Number &amp; Name],ROW()-10,1),"")</f>
        <v>0</v>
      </c>
      <c r="B15" s="16">
        <f>SUMIF(TA[Course],Summary[[#This Row],[Course]],TA[Fall Salary])</f>
        <v>0</v>
      </c>
      <c r="C15" s="15">
        <f>SUMIF(TA[Course],Summary[[#This Row],[Course]],TA[Spring Salary])</f>
        <v>0</v>
      </c>
      <c r="D15" s="26" t="str">
        <f>IF(Summary[[#This Row],[Fall TA Salary]]=0,"",Summary[[#This Row],[Fall TA Salary]]/TARate)</f>
        <v/>
      </c>
      <c r="E15" s="26" t="str">
        <f>IF(Summary[[#This Row],[Spring TA Salary]]=0,"",Summary[[#This Row],[Spring TA Salary]]/TARate)</f>
        <v/>
      </c>
      <c r="F15" s="15">
        <f>SUMIF(Reader[Course Number &amp; Title],Summary[[#This Row],[Course]],Reader[Fall Salary])</f>
        <v>0</v>
      </c>
      <c r="G15" s="16">
        <f>SUMIF(Reader[Course Number &amp; Title],Summary[[#This Row],[Course]],Reader[Spring Salary])</f>
        <v>0</v>
      </c>
    </row>
    <row r="16" spans="1:9" x14ac:dyDescent="0.25">
      <c r="A16" s="14">
        <f>IFERROR(INDEX(Courses[Course Number &amp; Name],ROW()-10,1),"")</f>
        <v>0</v>
      </c>
      <c r="B16" s="16">
        <f>SUMIF(TA[Course],Summary[[#This Row],[Course]],TA[Fall Salary])</f>
        <v>0</v>
      </c>
      <c r="C16" s="15">
        <f>SUMIF(TA[Course],Summary[[#This Row],[Course]],TA[Spring Salary])</f>
        <v>0</v>
      </c>
      <c r="D16" s="26" t="str">
        <f>IF(Summary[[#This Row],[Fall TA Salary]]=0,"",Summary[[#This Row],[Fall TA Salary]]/TARate)</f>
        <v/>
      </c>
      <c r="E16" s="26" t="str">
        <f>IF(Summary[[#This Row],[Spring TA Salary]]=0,"",Summary[[#This Row],[Spring TA Salary]]/TARate)</f>
        <v/>
      </c>
      <c r="F16" s="15">
        <f>SUMIF(Reader[Course Number &amp; Title],Summary[[#This Row],[Course]],Reader[Fall Salary])</f>
        <v>0</v>
      </c>
      <c r="G16" s="16">
        <f>SUMIF(Reader[Course Number &amp; Title],Summary[[#This Row],[Course]],Reader[Spring Salary])</f>
        <v>0</v>
      </c>
    </row>
    <row r="17" spans="1:7" x14ac:dyDescent="0.25">
      <c r="A17" s="14" t="str">
        <f>IFERROR(INDEX(Courses[Course Number &amp; Name],ROW()-10,1),"")</f>
        <v/>
      </c>
      <c r="B17" s="16">
        <f>SUMIF(TA[Course],Summary[[#This Row],[Course]],TA[Fall Salary])</f>
        <v>0</v>
      </c>
      <c r="C17" s="15">
        <f>SUMIF(TA[Course],Summary[[#This Row],[Course]],TA[Spring Salary])</f>
        <v>0</v>
      </c>
      <c r="D17" s="26" t="str">
        <f>IF(Summary[[#This Row],[Fall TA Salary]]=0,"",Summary[[#This Row],[Fall TA Salary]]/TARate)</f>
        <v/>
      </c>
      <c r="E17" s="26" t="str">
        <f>IF(Summary[[#This Row],[Spring TA Salary]]=0,"",Summary[[#This Row],[Spring TA Salary]]/TARate)</f>
        <v/>
      </c>
      <c r="F17" s="15">
        <f>SUMIF(Reader[Course Number &amp; Title],Summary[[#This Row],[Course]],Reader[Fall Salary])</f>
        <v>0</v>
      </c>
      <c r="G17" s="16">
        <f>SUMIF(Reader[Course Number &amp; Title],Summary[[#This Row],[Course]],Reader[Spring Salary])</f>
        <v>0</v>
      </c>
    </row>
    <row r="18" spans="1:7" x14ac:dyDescent="0.25">
      <c r="A18" s="14" t="str">
        <f>IFERROR(INDEX(Courses[Course Number &amp; Name],ROW()-10,1),"")</f>
        <v/>
      </c>
      <c r="B18" s="16">
        <f>SUMIF(TA[Course],Summary[[#This Row],[Course]],TA[Fall Salary])</f>
        <v>0</v>
      </c>
      <c r="C18" s="15">
        <f>SUMIF(TA[Course],Summary[[#This Row],[Course]],TA[Spring Salary])</f>
        <v>0</v>
      </c>
      <c r="D18" s="26" t="str">
        <f>IF(Summary[[#This Row],[Fall TA Salary]]=0,"",Summary[[#This Row],[Fall TA Salary]]/TARate)</f>
        <v/>
      </c>
      <c r="E18" s="26" t="str">
        <f>IF(Summary[[#This Row],[Spring TA Salary]]=0,"",Summary[[#This Row],[Spring TA Salary]]/TARate)</f>
        <v/>
      </c>
      <c r="F18" s="15">
        <f>SUMIF(Reader[Course Number &amp; Title],Summary[[#This Row],[Course]],Reader[Fall Salary])</f>
        <v>0</v>
      </c>
      <c r="G18" s="16">
        <f>SUMIF(Reader[Course Number &amp; Title],Summary[[#This Row],[Course]],Reader[Spring Salary])</f>
        <v>0</v>
      </c>
    </row>
    <row r="19" spans="1:7" x14ac:dyDescent="0.25">
      <c r="A19" s="14" t="str">
        <f>IFERROR(INDEX(Courses[Course Number &amp; Name],ROW()-10,1),"")</f>
        <v/>
      </c>
      <c r="B19" s="16">
        <f>SUMIF(TA[Course],Summary[[#This Row],[Course]],TA[Fall Salary])</f>
        <v>0</v>
      </c>
      <c r="C19" s="15">
        <f>SUMIF(TA[Course],Summary[[#This Row],[Course]],TA[Spring Salary])</f>
        <v>0</v>
      </c>
      <c r="D19" s="26" t="str">
        <f>IF(Summary[[#This Row],[Fall TA Salary]]=0,"",Summary[[#This Row],[Fall TA Salary]]/TARate)</f>
        <v/>
      </c>
      <c r="E19" s="26" t="str">
        <f>IF(Summary[[#This Row],[Spring TA Salary]]=0,"",Summary[[#This Row],[Spring TA Salary]]/TARate)</f>
        <v/>
      </c>
      <c r="F19" s="15">
        <f>SUMIF(Reader[Course Number &amp; Title],Summary[[#This Row],[Course]],Reader[Fall Salary])</f>
        <v>0</v>
      </c>
      <c r="G19" s="16">
        <f>SUMIF(Reader[Course Number &amp; Title],Summary[[#This Row],[Course]],Reader[Spring Salary])</f>
        <v>0</v>
      </c>
    </row>
    <row r="20" spans="1:7" x14ac:dyDescent="0.25">
      <c r="A20" s="14" t="str">
        <f>IFERROR(INDEX(Courses[Course Number &amp; Name],ROW()-10,1),"")</f>
        <v/>
      </c>
      <c r="B20" s="16">
        <f>SUMIF(TA[Course],Summary[[#This Row],[Course]],TA[Fall Salary])</f>
        <v>0</v>
      </c>
      <c r="C20" s="15">
        <f>SUMIF(TA[Course],Summary[[#This Row],[Course]],TA[Spring Salary])</f>
        <v>0</v>
      </c>
      <c r="D20" s="26" t="str">
        <f>IF(Summary[[#This Row],[Fall TA Salary]]=0,"",Summary[[#This Row],[Fall TA Salary]]/TARate)</f>
        <v/>
      </c>
      <c r="E20" s="26" t="str">
        <f>IF(Summary[[#This Row],[Spring TA Salary]]=0,"",Summary[[#This Row],[Spring TA Salary]]/TARate)</f>
        <v/>
      </c>
      <c r="F20" s="15">
        <f>SUMIF(Reader[Course Number &amp; Title],Summary[[#This Row],[Course]],Reader[Fall Salary])</f>
        <v>0</v>
      </c>
      <c r="G20" s="16">
        <f>SUMIF(Reader[Course Number &amp; Title],Summary[[#This Row],[Course]],Reader[Spring Salary])</f>
        <v>0</v>
      </c>
    </row>
    <row r="21" spans="1:7" x14ac:dyDescent="0.25">
      <c r="A21" s="14" t="str">
        <f>IFERROR(INDEX(Courses[Course Number &amp; Name],ROW()-10,1),"")</f>
        <v/>
      </c>
      <c r="B21" s="16">
        <f>SUMIF(TA[Course],Summary[[#This Row],[Course]],TA[Fall Salary])</f>
        <v>0</v>
      </c>
      <c r="C21" s="15">
        <f>SUMIF(TA[Course],Summary[[#This Row],[Course]],TA[Spring Salary])</f>
        <v>0</v>
      </c>
      <c r="D21" s="26" t="str">
        <f>IF(Summary[[#This Row],[Fall TA Salary]]=0,"",Summary[[#This Row],[Fall TA Salary]]/TARate)</f>
        <v/>
      </c>
      <c r="E21" s="26" t="str">
        <f>IF(Summary[[#This Row],[Spring TA Salary]]=0,"",Summary[[#This Row],[Spring TA Salary]]/TARate)</f>
        <v/>
      </c>
      <c r="F21" s="15">
        <f>SUMIF(Reader[Course Number &amp; Title],Summary[[#This Row],[Course]],Reader[Fall Salary])</f>
        <v>0</v>
      </c>
      <c r="G21" s="16">
        <f>SUMIF(Reader[Course Number &amp; Title],Summary[[#This Row],[Course]],Reader[Spring Salary])</f>
        <v>0</v>
      </c>
    </row>
    <row r="22" spans="1:7" x14ac:dyDescent="0.25">
      <c r="A22" s="14" t="str">
        <f>IFERROR(INDEX(Courses[Course Number &amp; Name],ROW()-10,1),"")</f>
        <v/>
      </c>
      <c r="B22" s="16">
        <f>SUMIF(TA[Course],Summary[[#This Row],[Course]],TA[Fall Salary])</f>
        <v>0</v>
      </c>
      <c r="C22" s="15">
        <f>SUMIF(TA[Course],Summary[[#This Row],[Course]],TA[Spring Salary])</f>
        <v>0</v>
      </c>
      <c r="D22" s="26" t="str">
        <f>IF(Summary[[#This Row],[Fall TA Salary]]=0,"",Summary[[#This Row],[Fall TA Salary]]/TARate)</f>
        <v/>
      </c>
      <c r="E22" s="26" t="str">
        <f>IF(Summary[[#This Row],[Spring TA Salary]]=0,"",Summary[[#This Row],[Spring TA Salary]]/TARate)</f>
        <v/>
      </c>
      <c r="F22" s="15">
        <f>SUMIF(Reader[Course Number &amp; Title],Summary[[#This Row],[Course]],Reader[Fall Salary])</f>
        <v>0</v>
      </c>
      <c r="G22" s="16">
        <f>SUMIF(Reader[Course Number &amp; Title],Summary[[#This Row],[Course]],Reader[Spring Salary])</f>
        <v>0</v>
      </c>
    </row>
    <row r="23" spans="1:7" x14ac:dyDescent="0.25">
      <c r="A23" s="14" t="str">
        <f>IFERROR(INDEX(Courses[Course Number &amp; Name],ROW()-10,1),"")</f>
        <v/>
      </c>
      <c r="B23" s="16">
        <f>SUMIF(TA[Course],Summary[[#This Row],[Course]],TA[Fall Salary])</f>
        <v>0</v>
      </c>
      <c r="C23" s="15">
        <f>SUMIF(TA[Course],Summary[[#This Row],[Course]],TA[Spring Salary])</f>
        <v>0</v>
      </c>
      <c r="D23" s="26" t="str">
        <f>IF(Summary[[#This Row],[Fall TA Salary]]=0,"",Summary[[#This Row],[Fall TA Salary]]/TARate)</f>
        <v/>
      </c>
      <c r="E23" s="26" t="str">
        <f>IF(Summary[[#This Row],[Spring TA Salary]]=0,"",Summary[[#This Row],[Spring TA Salary]]/TARate)</f>
        <v/>
      </c>
      <c r="F23" s="15">
        <f>SUMIF(Reader[Course Number &amp; Title],Summary[[#This Row],[Course]],Reader[Fall Salary])</f>
        <v>0</v>
      </c>
      <c r="G23" s="16">
        <f>SUMIF(Reader[Course Number &amp; Title],Summary[[#This Row],[Course]],Reader[Spring Salary])</f>
        <v>0</v>
      </c>
    </row>
    <row r="24" spans="1:7" x14ac:dyDescent="0.25">
      <c r="A24" s="14" t="str">
        <f>IFERROR(INDEX(Courses[Course Number &amp; Name],ROW()-10,1),"")</f>
        <v/>
      </c>
      <c r="B24" s="16">
        <f>SUMIF(TA[Course],Summary[[#This Row],[Course]],TA[Fall Salary])</f>
        <v>0</v>
      </c>
      <c r="C24" s="15">
        <f>SUMIF(TA[Course],Summary[[#This Row],[Course]],TA[Spring Salary])</f>
        <v>0</v>
      </c>
      <c r="D24" s="26" t="str">
        <f>IF(Summary[[#This Row],[Fall TA Salary]]=0,"",Summary[[#This Row],[Fall TA Salary]]/TARate)</f>
        <v/>
      </c>
      <c r="E24" s="26" t="str">
        <f>IF(Summary[[#This Row],[Spring TA Salary]]=0,"",Summary[[#This Row],[Spring TA Salary]]/TARate)</f>
        <v/>
      </c>
      <c r="F24" s="15">
        <f>SUMIF(Reader[Course Number &amp; Title],Summary[[#This Row],[Course]],Reader[Fall Salary])</f>
        <v>0</v>
      </c>
      <c r="G24" s="16">
        <f>SUMIF(Reader[Course Number &amp; Title],Summary[[#This Row],[Course]],Reader[Spring Salary])</f>
        <v>0</v>
      </c>
    </row>
    <row r="25" spans="1:7" x14ac:dyDescent="0.25">
      <c r="A25" s="14" t="str">
        <f>IFERROR(INDEX(Courses[Course Number &amp; Name],ROW()-10,1),"")</f>
        <v/>
      </c>
      <c r="B25" s="16">
        <f>SUMIF(TA[Course],Summary[[#This Row],[Course]],TA[Fall Salary])</f>
        <v>0</v>
      </c>
      <c r="C25" s="15">
        <f>SUMIF(TA[Course],Summary[[#This Row],[Course]],TA[Spring Salary])</f>
        <v>0</v>
      </c>
      <c r="D25" s="26" t="str">
        <f>IF(Summary[[#This Row],[Fall TA Salary]]=0,"",Summary[[#This Row],[Fall TA Salary]]/TARate)</f>
        <v/>
      </c>
      <c r="E25" s="26" t="str">
        <f>IF(Summary[[#This Row],[Spring TA Salary]]=0,"",Summary[[#This Row],[Spring TA Salary]]/TARate)</f>
        <v/>
      </c>
      <c r="F25" s="15">
        <f>SUMIF(Reader[Course Number &amp; Title],Summary[[#This Row],[Course]],Reader[Fall Salary])</f>
        <v>0</v>
      </c>
      <c r="G25" s="16">
        <f>SUMIF(Reader[Course Number &amp; Title],Summary[[#This Row],[Course]],Reader[Spring Salary])</f>
        <v>0</v>
      </c>
    </row>
    <row r="26" spans="1:7" x14ac:dyDescent="0.25">
      <c r="A26" s="14" t="str">
        <f>IFERROR(INDEX(Courses[Course Number &amp; Name],ROW()-10,1),"")</f>
        <v/>
      </c>
      <c r="B26" s="16">
        <f>SUMIF(TA[Course],Summary[[#This Row],[Course]],TA[Fall Salary])</f>
        <v>0</v>
      </c>
      <c r="C26" s="15">
        <f>SUMIF(TA[Course],Summary[[#This Row],[Course]],TA[Spring Salary])</f>
        <v>0</v>
      </c>
      <c r="D26" s="26" t="str">
        <f>IF(Summary[[#This Row],[Fall TA Salary]]=0,"",Summary[[#This Row],[Fall TA Salary]]/TARate)</f>
        <v/>
      </c>
      <c r="E26" s="26" t="str">
        <f>IF(Summary[[#This Row],[Spring TA Salary]]=0,"",Summary[[#This Row],[Spring TA Salary]]/TARate)</f>
        <v/>
      </c>
      <c r="F26" s="15">
        <f>SUMIF(Reader[Course Number &amp; Title],Summary[[#This Row],[Course]],Reader[Fall Salary])</f>
        <v>0</v>
      </c>
      <c r="G26" s="16">
        <f>SUMIF(Reader[Course Number &amp; Title],Summary[[#This Row],[Course]],Reader[Spring Salary])</f>
        <v>0</v>
      </c>
    </row>
    <row r="27" spans="1:7" x14ac:dyDescent="0.25">
      <c r="A27" s="14" t="str">
        <f>IFERROR(INDEX(Courses[Course Number &amp; Name],ROW()-10,1),"")</f>
        <v/>
      </c>
      <c r="B27" s="16">
        <f>SUMIF(TA[Course],Summary[[#This Row],[Course]],TA[Fall Salary])</f>
        <v>0</v>
      </c>
      <c r="C27" s="15">
        <f>SUMIF(TA[Course],Summary[[#This Row],[Course]],TA[Spring Salary])</f>
        <v>0</v>
      </c>
      <c r="D27" s="26" t="str">
        <f>IF(Summary[[#This Row],[Fall TA Salary]]=0,"",Summary[[#This Row],[Fall TA Salary]]/TARate)</f>
        <v/>
      </c>
      <c r="E27" s="26" t="str">
        <f>IF(Summary[[#This Row],[Spring TA Salary]]=0,"",Summary[[#This Row],[Spring TA Salary]]/TARate)</f>
        <v/>
      </c>
      <c r="F27" s="15">
        <f>SUMIF(Reader[Course Number &amp; Title],Summary[[#This Row],[Course]],Reader[Fall Salary])</f>
        <v>0</v>
      </c>
      <c r="G27" s="16">
        <f>SUMIF(Reader[Course Number &amp; Title],Summary[[#This Row],[Course]],Reader[Spring Salary])</f>
        <v>0</v>
      </c>
    </row>
    <row r="28" spans="1:7" x14ac:dyDescent="0.25">
      <c r="A28" s="14" t="str">
        <f>IFERROR(INDEX(Courses[Course Number &amp; Name],ROW()-10,1),"")</f>
        <v/>
      </c>
      <c r="B28" s="16">
        <f>SUMIF(TA[Course],Summary[[#This Row],[Course]],TA[Fall Salary])</f>
        <v>0</v>
      </c>
      <c r="C28" s="15">
        <f>SUMIF(TA[Course],Summary[[#This Row],[Course]],TA[Spring Salary])</f>
        <v>0</v>
      </c>
      <c r="D28" s="26" t="str">
        <f>IF(Summary[[#This Row],[Fall TA Salary]]=0,"",Summary[[#This Row],[Fall TA Salary]]/TARate)</f>
        <v/>
      </c>
      <c r="E28" s="26" t="str">
        <f>IF(Summary[[#This Row],[Spring TA Salary]]=0,"",Summary[[#This Row],[Spring TA Salary]]/TARate)</f>
        <v/>
      </c>
      <c r="F28" s="15">
        <f>SUMIF(Reader[Course Number &amp; Title],Summary[[#This Row],[Course]],Reader[Fall Salary])</f>
        <v>0</v>
      </c>
      <c r="G28" s="16">
        <f>SUMIF(Reader[Course Number &amp; Title],Summary[[#This Row],[Course]],Reader[Spring Salary])</f>
        <v>0</v>
      </c>
    </row>
    <row r="29" spans="1:7" x14ac:dyDescent="0.25">
      <c r="A29" s="14" t="str">
        <f>IFERROR(INDEX(Courses[Course Number &amp; Name],ROW()-10,1),"")</f>
        <v/>
      </c>
      <c r="B29" s="16">
        <f>SUMIF(TA[Course],Summary[[#This Row],[Course]],TA[Fall Salary])</f>
        <v>0</v>
      </c>
      <c r="C29" s="15">
        <f>SUMIF(TA[Course],Summary[[#This Row],[Course]],TA[Spring Salary])</f>
        <v>0</v>
      </c>
      <c r="D29" s="26" t="str">
        <f>IF(Summary[[#This Row],[Fall TA Salary]]=0,"",Summary[[#This Row],[Fall TA Salary]]/TARate)</f>
        <v/>
      </c>
      <c r="E29" s="26" t="str">
        <f>IF(Summary[[#This Row],[Spring TA Salary]]=0,"",Summary[[#This Row],[Spring TA Salary]]/TARate)</f>
        <v/>
      </c>
      <c r="F29" s="15">
        <f>SUMIF(Reader[Course Number &amp; Title],Summary[[#This Row],[Course]],Reader[Fall Salary])</f>
        <v>0</v>
      </c>
      <c r="G29" s="16">
        <f>SUMIF(Reader[Course Number &amp; Title],Summary[[#This Row],[Course]],Reader[Spring Salary])</f>
        <v>0</v>
      </c>
    </row>
    <row r="30" spans="1:7" x14ac:dyDescent="0.25">
      <c r="A30" s="14" t="str">
        <f>IFERROR(INDEX(Courses[Course Number &amp; Name],ROW()-10,1),"")</f>
        <v/>
      </c>
      <c r="B30" s="16">
        <f>SUMIF(TA[Course],Summary[[#This Row],[Course]],TA[Fall Salary])</f>
        <v>0</v>
      </c>
      <c r="C30" s="15">
        <f>SUMIF(TA[Course],Summary[[#This Row],[Course]],TA[Spring Salary])</f>
        <v>0</v>
      </c>
      <c r="D30" s="26" t="str">
        <f>IF(Summary[[#This Row],[Fall TA Salary]]=0,"",Summary[[#This Row],[Fall TA Salary]]/TARate)</f>
        <v/>
      </c>
      <c r="E30" s="26" t="str">
        <f>IF(Summary[[#This Row],[Spring TA Salary]]=0,"",Summary[[#This Row],[Spring TA Salary]]/TARate)</f>
        <v/>
      </c>
      <c r="F30" s="15">
        <f>SUMIF(Reader[Course Number &amp; Title],Summary[[#This Row],[Course]],Reader[Fall Salary])</f>
        <v>0</v>
      </c>
      <c r="G30" s="16">
        <f>SUMIF(Reader[Course Number &amp; Title],Summary[[#This Row],[Course]],Reader[Spring Salary])</f>
        <v>0</v>
      </c>
    </row>
    <row r="31" spans="1:7" x14ac:dyDescent="0.25">
      <c r="A31" s="14" t="str">
        <f>IFERROR(INDEX(Courses[Course Number &amp; Name],ROW()-10,1),"")</f>
        <v/>
      </c>
      <c r="B31" s="16">
        <f>SUMIF(TA[Course],Summary[[#This Row],[Course]],TA[Fall Salary])</f>
        <v>0</v>
      </c>
      <c r="C31" s="15">
        <f>SUMIF(TA[Course],Summary[[#This Row],[Course]],TA[Spring Salary])</f>
        <v>0</v>
      </c>
      <c r="D31" s="26" t="str">
        <f>IF(Summary[[#This Row],[Fall TA Salary]]=0,"",Summary[[#This Row],[Fall TA Salary]]/TARate)</f>
        <v/>
      </c>
      <c r="E31" s="26" t="str">
        <f>IF(Summary[[#This Row],[Spring TA Salary]]=0,"",Summary[[#This Row],[Spring TA Salary]]/TARate)</f>
        <v/>
      </c>
      <c r="F31" s="15">
        <f>SUMIF(Reader[Course Number &amp; Title],Summary[[#This Row],[Course]],Reader[Fall Salary])</f>
        <v>0</v>
      </c>
      <c r="G31" s="16">
        <f>SUMIF(Reader[Course Number &amp; Title],Summary[[#This Row],[Course]],Reader[Spring Salary])</f>
        <v>0</v>
      </c>
    </row>
    <row r="32" spans="1:7" x14ac:dyDescent="0.25">
      <c r="A32" s="14" t="str">
        <f>IFERROR(INDEX(Courses[Course Number &amp; Name],ROW()-10,1),"")</f>
        <v/>
      </c>
      <c r="B32" s="16">
        <f>SUMIF(TA[Course],Summary[[#This Row],[Course]],TA[Fall Salary])</f>
        <v>0</v>
      </c>
      <c r="C32" s="15">
        <f>SUMIF(TA[Course],Summary[[#This Row],[Course]],TA[Spring Salary])</f>
        <v>0</v>
      </c>
      <c r="D32" s="26" t="str">
        <f>IF(Summary[[#This Row],[Fall TA Salary]]=0,"",Summary[[#This Row],[Fall TA Salary]]/TARate)</f>
        <v/>
      </c>
      <c r="E32" s="26" t="str">
        <f>IF(Summary[[#This Row],[Spring TA Salary]]=0,"",Summary[[#This Row],[Spring TA Salary]]/TARate)</f>
        <v/>
      </c>
      <c r="F32" s="15">
        <f>SUMIF(Reader[Course Number &amp; Title],Summary[[#This Row],[Course]],Reader[Fall Salary])</f>
        <v>0</v>
      </c>
      <c r="G32" s="16">
        <f>SUMIF(Reader[Course Number &amp; Title],Summary[[#This Row],[Course]],Reader[Spring Salary])</f>
        <v>0</v>
      </c>
    </row>
    <row r="33" spans="1:7" x14ac:dyDescent="0.25">
      <c r="A33" s="14" t="str">
        <f>IFERROR(INDEX(Courses[Course Number &amp; Name],ROW()-10,1),"")</f>
        <v/>
      </c>
      <c r="B33" s="16">
        <f>SUMIF(TA[Course],Summary[[#This Row],[Course]],TA[Fall Salary])</f>
        <v>0</v>
      </c>
      <c r="C33" s="15">
        <f>SUMIF(TA[Course],Summary[[#This Row],[Course]],TA[Spring Salary])</f>
        <v>0</v>
      </c>
      <c r="D33" s="26" t="str">
        <f>IF(Summary[[#This Row],[Fall TA Salary]]=0,"",Summary[[#This Row],[Fall TA Salary]]/TARate)</f>
        <v/>
      </c>
      <c r="E33" s="26" t="str">
        <f>IF(Summary[[#This Row],[Spring TA Salary]]=0,"",Summary[[#This Row],[Spring TA Salary]]/TARate)</f>
        <v/>
      </c>
      <c r="F33" s="15">
        <f>SUMIF(Reader[Course Number &amp; Title],Summary[[#This Row],[Course]],Reader[Fall Salary])</f>
        <v>0</v>
      </c>
      <c r="G33" s="16">
        <f>SUMIF(Reader[Course Number &amp; Title],Summary[[#This Row],[Course]],Reader[Spring Salary])</f>
        <v>0</v>
      </c>
    </row>
    <row r="34" spans="1:7" x14ac:dyDescent="0.25">
      <c r="A34" s="14" t="str">
        <f>IFERROR(INDEX(Courses[Course Number &amp; Name],ROW()-10,1),"")</f>
        <v/>
      </c>
      <c r="B34" s="16">
        <f>SUMIF(TA[Course],Summary[[#This Row],[Course]],TA[Fall Salary])</f>
        <v>0</v>
      </c>
      <c r="C34" s="15">
        <f>SUMIF(TA[Course],Summary[[#This Row],[Course]],TA[Spring Salary])</f>
        <v>0</v>
      </c>
      <c r="D34" s="26" t="str">
        <f>IF(Summary[[#This Row],[Fall TA Salary]]=0,"",Summary[[#This Row],[Fall TA Salary]]/TARate)</f>
        <v/>
      </c>
      <c r="E34" s="26" t="str">
        <f>IF(Summary[[#This Row],[Spring TA Salary]]=0,"",Summary[[#This Row],[Spring TA Salary]]/TARate)</f>
        <v/>
      </c>
      <c r="F34" s="15">
        <f>SUMIF(Reader[Course Number &amp; Title],Summary[[#This Row],[Course]],Reader[Fall Salary])</f>
        <v>0</v>
      </c>
      <c r="G34" s="16">
        <f>SUMIF(Reader[Course Number &amp; Title],Summary[[#This Row],[Course]],Reader[Spring Salary])</f>
        <v>0</v>
      </c>
    </row>
    <row r="35" spans="1:7" x14ac:dyDescent="0.25">
      <c r="A35" s="14" t="str">
        <f>IFERROR(INDEX(Courses[Course Number &amp; Name],ROW()-10,1),"")</f>
        <v/>
      </c>
      <c r="B35" s="16">
        <f>SUMIF(TA[Course],Summary[[#This Row],[Course]],TA[Fall Salary])</f>
        <v>0</v>
      </c>
      <c r="C35" s="15">
        <f>SUMIF(TA[Course],Summary[[#This Row],[Course]],TA[Spring Salary])</f>
        <v>0</v>
      </c>
      <c r="D35" s="26" t="str">
        <f>IF(Summary[[#This Row],[Fall TA Salary]]=0,"",Summary[[#This Row],[Fall TA Salary]]/TARate)</f>
        <v/>
      </c>
      <c r="E35" s="26" t="str">
        <f>IF(Summary[[#This Row],[Spring TA Salary]]=0,"",Summary[[#This Row],[Spring TA Salary]]/TARate)</f>
        <v/>
      </c>
      <c r="F35" s="15">
        <f>SUMIF(Reader[Course Number &amp; Title],Summary[[#This Row],[Course]],Reader[Fall Salary])</f>
        <v>0</v>
      </c>
      <c r="G35" s="16">
        <f>SUMIF(Reader[Course Number &amp; Title],Summary[[#This Row],[Course]],Reader[Spring Salary])</f>
        <v>0</v>
      </c>
    </row>
    <row r="36" spans="1:7" x14ac:dyDescent="0.25">
      <c r="A36" s="14" t="str">
        <f>IFERROR(INDEX(Courses[Course Number &amp; Name],ROW()-10,1),"")</f>
        <v/>
      </c>
      <c r="B36" s="16">
        <f>SUMIF(TA[Course],Summary[[#This Row],[Course]],TA[Fall Salary])</f>
        <v>0</v>
      </c>
      <c r="C36" s="15">
        <f>SUMIF(TA[Course],Summary[[#This Row],[Course]],TA[Spring Salary])</f>
        <v>0</v>
      </c>
      <c r="D36" s="26" t="str">
        <f>IF(Summary[[#This Row],[Fall TA Salary]]=0,"",Summary[[#This Row],[Fall TA Salary]]/TARate)</f>
        <v/>
      </c>
      <c r="E36" s="26" t="str">
        <f>IF(Summary[[#This Row],[Spring TA Salary]]=0,"",Summary[[#This Row],[Spring TA Salary]]/TARate)</f>
        <v/>
      </c>
      <c r="F36" s="15">
        <f>SUMIF(Reader[Course Number &amp; Title],Summary[[#This Row],[Course]],Reader[Fall Salary])</f>
        <v>0</v>
      </c>
      <c r="G36" s="16">
        <f>SUMIF(Reader[Course Number &amp; Title],Summary[[#This Row],[Course]],Reader[Spring Salary])</f>
        <v>0</v>
      </c>
    </row>
    <row r="37" spans="1:7" x14ac:dyDescent="0.25">
      <c r="A37" s="14" t="str">
        <f>IFERROR(INDEX(Courses[Course Number &amp; Name],ROW()-10,1),"")</f>
        <v/>
      </c>
      <c r="B37" s="16">
        <f>SUMIF(TA[Course],Summary[[#This Row],[Course]],TA[Fall Salary])</f>
        <v>0</v>
      </c>
      <c r="C37" s="15">
        <f>SUMIF(TA[Course],Summary[[#This Row],[Course]],TA[Spring Salary])</f>
        <v>0</v>
      </c>
      <c r="D37" s="26" t="str">
        <f>IF(Summary[[#This Row],[Fall TA Salary]]=0,"",Summary[[#This Row],[Fall TA Salary]]/TARate)</f>
        <v/>
      </c>
      <c r="E37" s="26" t="str">
        <f>IF(Summary[[#This Row],[Spring TA Salary]]=0,"",Summary[[#This Row],[Spring TA Salary]]/TARate)</f>
        <v/>
      </c>
      <c r="F37" s="15">
        <f>SUMIF(Reader[Course Number &amp; Title],Summary[[#This Row],[Course]],Reader[Fall Salary])</f>
        <v>0</v>
      </c>
      <c r="G37" s="16">
        <f>SUMIF(Reader[Course Number &amp; Title],Summary[[#This Row],[Course]],Reader[Spring Salary])</f>
        <v>0</v>
      </c>
    </row>
    <row r="38" spans="1:7" x14ac:dyDescent="0.25">
      <c r="A38" s="14" t="str">
        <f>IFERROR(INDEX(Courses[Course Number &amp; Name],ROW()-10,1),"")</f>
        <v/>
      </c>
      <c r="B38" s="16">
        <f>SUMIF(TA[Course],Summary[[#This Row],[Course]],TA[Fall Salary])</f>
        <v>0</v>
      </c>
      <c r="C38" s="15">
        <f>SUMIF(TA[Course],Summary[[#This Row],[Course]],TA[Spring Salary])</f>
        <v>0</v>
      </c>
      <c r="D38" s="26" t="str">
        <f>IF(Summary[[#This Row],[Fall TA Salary]]=0,"",Summary[[#This Row],[Fall TA Salary]]/TARate)</f>
        <v/>
      </c>
      <c r="E38" s="26" t="str">
        <f>IF(Summary[[#This Row],[Spring TA Salary]]=0,"",Summary[[#This Row],[Spring TA Salary]]/TARate)</f>
        <v/>
      </c>
      <c r="F38" s="15">
        <f>SUMIF(Reader[Course Number &amp; Title],Summary[[#This Row],[Course]],Reader[Fall Salary])</f>
        <v>0</v>
      </c>
      <c r="G38" s="16">
        <f>SUMIF(Reader[Course Number &amp; Title],Summary[[#This Row],[Course]],Reader[Spring Salary])</f>
        <v>0</v>
      </c>
    </row>
    <row r="39" spans="1:7" x14ac:dyDescent="0.25">
      <c r="A39" s="17" t="str">
        <f>IFERROR(INDEX(Courses[Course Number &amp; Name],ROW()-10,1),"")</f>
        <v/>
      </c>
      <c r="B39" s="19">
        <f>SUMIF(TA[Course],Summary[[#This Row],[Course]],TA[Fall Salary])</f>
        <v>0</v>
      </c>
      <c r="C39" s="18">
        <f>SUMIF(TA[Course],Summary[[#This Row],[Course]],TA[Spring Salary])</f>
        <v>0</v>
      </c>
      <c r="D39" s="27" t="str">
        <f>IF(Summary[[#This Row],[Fall TA Salary]]=0,"",Summary[[#This Row],[Fall TA Salary]]/TARate)</f>
        <v/>
      </c>
      <c r="E39" s="27" t="str">
        <f>IF(Summary[[#This Row],[Spring TA Salary]]=0,"",Summary[[#This Row],[Spring TA Salary]]/TARate)</f>
        <v/>
      </c>
      <c r="F39" s="18">
        <f>SUMIF(Reader[Course Number &amp; Title],Summary[[#This Row],[Course]],Reader[Fall Salary])</f>
        <v>0</v>
      </c>
      <c r="G39" s="19">
        <f>SUMIF(Reader[Course Number &amp; Title],Summary[[#This Row],[Course]],Reader[Spring Salary])</f>
        <v>0</v>
      </c>
    </row>
    <row r="40" spans="1:7" x14ac:dyDescent="0.25">
      <c r="A40" s="58" t="str">
        <f>IFERROR(INDEX(Courses[Course Number &amp; Name],ROW()-10,1),"")</f>
        <v/>
      </c>
      <c r="B40" s="19">
        <f>SUMIF(TA[Course],Summary[[#This Row],[Course]],TA[Fall Salary])</f>
        <v>0</v>
      </c>
      <c r="C40" s="59">
        <f>SUMIF(TA[Course],Summary[[#This Row],[Course]],TA[Spring Salary])</f>
        <v>0</v>
      </c>
      <c r="D40" s="27" t="str">
        <f>IF(Summary[[#This Row],[Fall TA Salary]]=0,"",Summary[[#This Row],[Fall TA Salary]]/TARate)</f>
        <v/>
      </c>
      <c r="E40" s="60" t="str">
        <f>IF(Summary[[#This Row],[Spring TA Salary]]=0,"",Summary[[#This Row],[Spring TA Salary]]/TARate)</f>
        <v/>
      </c>
      <c r="F40" s="18">
        <f>SUMIF(Reader[Course Number &amp; Title],Summary[[#This Row],[Course]],Reader[Fall Salary])</f>
        <v>0</v>
      </c>
      <c r="G40" s="61">
        <f>SUMIF(Reader[Course Number &amp; Title],Summary[[#This Row],[Course]],Reader[Spring Salary])</f>
        <v>0</v>
      </c>
    </row>
    <row r="41" spans="1:7" x14ac:dyDescent="0.25">
      <c r="A41" s="58" t="str">
        <f>IFERROR(INDEX(Courses[Course Number &amp; Name],ROW()-10,1),"")</f>
        <v/>
      </c>
      <c r="B41" s="19">
        <f>SUMIF(TA[Course],Summary[[#This Row],[Course]],TA[Fall Salary])</f>
        <v>0</v>
      </c>
      <c r="C41" s="59">
        <f>SUMIF(TA[Course],Summary[[#This Row],[Course]],TA[Spring Salary])</f>
        <v>0</v>
      </c>
      <c r="D41" s="27" t="str">
        <f>IF(Summary[[#This Row],[Fall TA Salary]]=0,"",Summary[[#This Row],[Fall TA Salary]]/TARate)</f>
        <v/>
      </c>
      <c r="E41" s="60" t="str">
        <f>IF(Summary[[#This Row],[Spring TA Salary]]=0,"",Summary[[#This Row],[Spring TA Salary]]/TARate)</f>
        <v/>
      </c>
      <c r="F41" s="18">
        <f>SUMIF(Reader[Course Number &amp; Title],Summary[[#This Row],[Course]],Reader[Fall Salary])</f>
        <v>0</v>
      </c>
      <c r="G41" s="61">
        <f>SUMIF(Reader[Course Number &amp; Title],Summary[[#This Row],[Course]],Reader[Spring Salary])</f>
        <v>0</v>
      </c>
    </row>
    <row r="42" spans="1:7" x14ac:dyDescent="0.25">
      <c r="A42" s="58" t="str">
        <f>IFERROR(INDEX(Courses[Course Number &amp; Name],ROW()-10,1),"")</f>
        <v/>
      </c>
      <c r="B42" s="19">
        <f>SUMIF(TA[Course],Summary[[#This Row],[Course]],TA[Fall Salary])</f>
        <v>0</v>
      </c>
      <c r="C42" s="59">
        <f>SUMIF(TA[Course],Summary[[#This Row],[Course]],TA[Spring Salary])</f>
        <v>0</v>
      </c>
      <c r="D42" s="27" t="str">
        <f>IF(Summary[[#This Row],[Fall TA Salary]]=0,"",Summary[[#This Row],[Fall TA Salary]]/TARate)</f>
        <v/>
      </c>
      <c r="E42" s="60" t="str">
        <f>IF(Summary[[#This Row],[Spring TA Salary]]=0,"",Summary[[#This Row],[Spring TA Salary]]/TARate)</f>
        <v/>
      </c>
      <c r="F42" s="18">
        <f>SUMIF(Reader[Course Number &amp; Title],Summary[[#This Row],[Course]],Reader[Fall Salary])</f>
        <v>0</v>
      </c>
      <c r="G42" s="61">
        <f>SUMIF(Reader[Course Number &amp; Title],Summary[[#This Row],[Course]],Reader[Spring Salary])</f>
        <v>0</v>
      </c>
    </row>
    <row r="43" spans="1:7" x14ac:dyDescent="0.25">
      <c r="A43" s="58" t="str">
        <f>IFERROR(INDEX(Courses[Course Number &amp; Name],ROW()-10,1),"")</f>
        <v/>
      </c>
      <c r="B43" s="19">
        <f>SUMIF(TA[Course],Summary[[#This Row],[Course]],TA[Fall Salary])</f>
        <v>0</v>
      </c>
      <c r="C43" s="59">
        <f>SUMIF(TA[Course],Summary[[#This Row],[Course]],TA[Spring Salary])</f>
        <v>0</v>
      </c>
      <c r="D43" s="27" t="str">
        <f>IF(Summary[[#This Row],[Fall TA Salary]]=0,"",Summary[[#This Row],[Fall TA Salary]]/TARate)</f>
        <v/>
      </c>
      <c r="E43" s="60" t="str">
        <f>IF(Summary[[#This Row],[Spring TA Salary]]=0,"",Summary[[#This Row],[Spring TA Salary]]/TARate)</f>
        <v/>
      </c>
      <c r="F43" s="18">
        <f>SUMIF(Reader[Course Number &amp; Title],Summary[[#This Row],[Course]],Reader[Fall Salary])</f>
        <v>0</v>
      </c>
      <c r="G43" s="61">
        <f>SUMIF(Reader[Course Number &amp; Title],Summary[[#This Row],[Course]],Reader[Spring Salary])</f>
        <v>0</v>
      </c>
    </row>
    <row r="44" spans="1:7" x14ac:dyDescent="0.25">
      <c r="A44" s="58" t="str">
        <f>IFERROR(INDEX(Courses[Course Number &amp; Name],ROW()-10,1),"")</f>
        <v/>
      </c>
      <c r="B44" s="19">
        <f>SUMIF(TA[Course],Summary[[#This Row],[Course]],TA[Fall Salary])</f>
        <v>0</v>
      </c>
      <c r="C44" s="59">
        <f>SUMIF(TA[Course],Summary[[#This Row],[Course]],TA[Spring Salary])</f>
        <v>0</v>
      </c>
      <c r="D44" s="27" t="str">
        <f>IF(Summary[[#This Row],[Fall TA Salary]]=0,"",Summary[[#This Row],[Fall TA Salary]]/TARate)</f>
        <v/>
      </c>
      <c r="E44" s="60" t="str">
        <f>IF(Summary[[#This Row],[Spring TA Salary]]=0,"",Summary[[#This Row],[Spring TA Salary]]/TARate)</f>
        <v/>
      </c>
      <c r="F44" s="18">
        <f>SUMIF(Reader[Course Number &amp; Title],Summary[[#This Row],[Course]],Reader[Fall Salary])</f>
        <v>0</v>
      </c>
      <c r="G44" s="61">
        <f>SUMIF(Reader[Course Number &amp; Title],Summary[[#This Row],[Course]],Reader[Spring Salary])</f>
        <v>0</v>
      </c>
    </row>
    <row r="45" spans="1:7" x14ac:dyDescent="0.25">
      <c r="A45" s="58" t="str">
        <f>IFERROR(INDEX(Courses[Course Number &amp; Name],ROW()-10,1),"")</f>
        <v/>
      </c>
      <c r="B45" s="19">
        <f>SUMIF(TA[Course],Summary[[#This Row],[Course]],TA[Fall Salary])</f>
        <v>0</v>
      </c>
      <c r="C45" s="59">
        <f>SUMIF(TA[Course],Summary[[#This Row],[Course]],TA[Spring Salary])</f>
        <v>0</v>
      </c>
      <c r="D45" s="27" t="str">
        <f>IF(Summary[[#This Row],[Fall TA Salary]]=0,"",Summary[[#This Row],[Fall TA Salary]]/TARate)</f>
        <v/>
      </c>
      <c r="E45" s="60" t="str">
        <f>IF(Summary[[#This Row],[Spring TA Salary]]=0,"",Summary[[#This Row],[Spring TA Salary]]/TARate)</f>
        <v/>
      </c>
      <c r="F45" s="18">
        <f>SUMIF(Reader[Course Number &amp; Title],Summary[[#This Row],[Course]],Reader[Fall Salary])</f>
        <v>0</v>
      </c>
      <c r="G45" s="61">
        <f>SUMIF(Reader[Course Number &amp; Title],Summary[[#This Row],[Course]],Reader[Spring Salary])</f>
        <v>0</v>
      </c>
    </row>
    <row r="46" spans="1:7" x14ac:dyDescent="0.25">
      <c r="A46" s="58" t="str">
        <f>IFERROR(INDEX(Courses[Course Number &amp; Name],ROW()-10,1),"")</f>
        <v/>
      </c>
      <c r="B46" s="19">
        <f>SUMIF(TA[Course],Summary[[#This Row],[Course]],TA[Fall Salary])</f>
        <v>0</v>
      </c>
      <c r="C46" s="59">
        <f>SUMIF(TA[Course],Summary[[#This Row],[Course]],TA[Spring Salary])</f>
        <v>0</v>
      </c>
      <c r="D46" s="27" t="str">
        <f>IF(Summary[[#This Row],[Fall TA Salary]]=0,"",Summary[[#This Row],[Fall TA Salary]]/TARate)</f>
        <v/>
      </c>
      <c r="E46" s="60" t="str">
        <f>IF(Summary[[#This Row],[Spring TA Salary]]=0,"",Summary[[#This Row],[Spring TA Salary]]/TARate)</f>
        <v/>
      </c>
      <c r="F46" s="18">
        <f>SUMIF(Reader[Course Number &amp; Title],Summary[[#This Row],[Course]],Reader[Fall Salary])</f>
        <v>0</v>
      </c>
      <c r="G46" s="61">
        <f>SUMIF(Reader[Course Number &amp; Title],Summary[[#This Row],[Course]],Reader[Spring Salary])</f>
        <v>0</v>
      </c>
    </row>
    <row r="47" spans="1:7" x14ac:dyDescent="0.25">
      <c r="A47" s="58" t="str">
        <f>IFERROR(INDEX(Courses[Course Number &amp; Name],ROW()-10,1),"")</f>
        <v/>
      </c>
      <c r="B47" s="19">
        <f>SUMIF(TA[Course],Summary[[#This Row],[Course]],TA[Fall Salary])</f>
        <v>0</v>
      </c>
      <c r="C47" s="59">
        <f>SUMIF(TA[Course],Summary[[#This Row],[Course]],TA[Spring Salary])</f>
        <v>0</v>
      </c>
      <c r="D47" s="27" t="str">
        <f>IF(Summary[[#This Row],[Fall TA Salary]]=0,"",Summary[[#This Row],[Fall TA Salary]]/TARate)</f>
        <v/>
      </c>
      <c r="E47" s="60" t="str">
        <f>IF(Summary[[#This Row],[Spring TA Salary]]=0,"",Summary[[#This Row],[Spring TA Salary]]/TARate)</f>
        <v/>
      </c>
      <c r="F47" s="18">
        <f>SUMIF(Reader[Course Number &amp; Title],Summary[[#This Row],[Course]],Reader[Fall Salary])</f>
        <v>0</v>
      </c>
      <c r="G47" s="61">
        <f>SUMIF(Reader[Course Number &amp; Title],Summary[[#This Row],[Course]],Reader[Spring Salary])</f>
        <v>0</v>
      </c>
    </row>
    <row r="48" spans="1:7" x14ac:dyDescent="0.25">
      <c r="A48" s="58" t="str">
        <f>IFERROR(INDEX(Courses[Course Number &amp; Name],ROW()-10,1),"")</f>
        <v/>
      </c>
      <c r="B48" s="19">
        <f>SUMIF(TA[Course],Summary[[#This Row],[Course]],TA[Fall Salary])</f>
        <v>0</v>
      </c>
      <c r="C48" s="59">
        <f>SUMIF(TA[Course],Summary[[#This Row],[Course]],TA[Spring Salary])</f>
        <v>0</v>
      </c>
      <c r="D48" s="27" t="str">
        <f>IF(Summary[[#This Row],[Fall TA Salary]]=0,"",Summary[[#This Row],[Fall TA Salary]]/TARate)</f>
        <v/>
      </c>
      <c r="E48" s="60" t="str">
        <f>IF(Summary[[#This Row],[Spring TA Salary]]=0,"",Summary[[#This Row],[Spring TA Salary]]/TARate)</f>
        <v/>
      </c>
      <c r="F48" s="18">
        <f>SUMIF(Reader[Course Number &amp; Title],Summary[[#This Row],[Course]],Reader[Fall Salary])</f>
        <v>0</v>
      </c>
      <c r="G48" s="61">
        <f>SUMIF(Reader[Course Number &amp; Title],Summary[[#This Row],[Course]],Reader[Spring Salary])</f>
        <v>0</v>
      </c>
    </row>
    <row r="49" spans="1:7" x14ac:dyDescent="0.25">
      <c r="A49" s="58" t="str">
        <f>IFERROR(INDEX(Courses[Course Number &amp; Name],ROW()-10,1),"")</f>
        <v/>
      </c>
      <c r="B49" s="19">
        <f>SUMIF(TA[Course],Summary[[#This Row],[Course]],TA[Fall Salary])</f>
        <v>0</v>
      </c>
      <c r="C49" s="59">
        <f>SUMIF(TA[Course],Summary[[#This Row],[Course]],TA[Spring Salary])</f>
        <v>0</v>
      </c>
      <c r="D49" s="27" t="str">
        <f>IF(Summary[[#This Row],[Fall TA Salary]]=0,"",Summary[[#This Row],[Fall TA Salary]]/TARate)</f>
        <v/>
      </c>
      <c r="E49" s="60" t="str">
        <f>IF(Summary[[#This Row],[Spring TA Salary]]=0,"",Summary[[#This Row],[Spring TA Salary]]/TARate)</f>
        <v/>
      </c>
      <c r="F49" s="18">
        <f>SUMIF(Reader[Course Number &amp; Title],Summary[[#This Row],[Course]],Reader[Fall Salary])</f>
        <v>0</v>
      </c>
      <c r="G49" s="61">
        <f>SUMIF(Reader[Course Number &amp; Title],Summary[[#This Row],[Course]],Reader[Spring Salary])</f>
        <v>0</v>
      </c>
    </row>
    <row r="50" spans="1:7" x14ac:dyDescent="0.25">
      <c r="A50" s="58" t="str">
        <f>IFERROR(INDEX(Courses[Course Number &amp; Name],ROW()-10,1),"")</f>
        <v/>
      </c>
      <c r="B50" s="19">
        <f>SUMIF(TA[Course],Summary[[#This Row],[Course]],TA[Fall Salary])</f>
        <v>0</v>
      </c>
      <c r="C50" s="59">
        <f>SUMIF(TA[Course],Summary[[#This Row],[Course]],TA[Spring Salary])</f>
        <v>0</v>
      </c>
      <c r="D50" s="27" t="str">
        <f>IF(Summary[[#This Row],[Fall TA Salary]]=0,"",Summary[[#This Row],[Fall TA Salary]]/TARate)</f>
        <v/>
      </c>
      <c r="E50" s="60" t="str">
        <f>IF(Summary[[#This Row],[Spring TA Salary]]=0,"",Summary[[#This Row],[Spring TA Salary]]/TARate)</f>
        <v/>
      </c>
      <c r="F50" s="18">
        <f>SUMIF(Reader[Course Number &amp; Title],Summary[[#This Row],[Course]],Reader[Fall Salary])</f>
        <v>0</v>
      </c>
      <c r="G50" s="61">
        <f>SUMIF(Reader[Course Number &amp; Title],Summary[[#This Row],[Course]],Reader[Spring Salary])</f>
        <v>0</v>
      </c>
    </row>
    <row r="51" spans="1:7" x14ac:dyDescent="0.25">
      <c r="A51" s="58" t="str">
        <f>IFERROR(INDEX(Courses[Course Number &amp; Name],ROW()-10,1),"")</f>
        <v/>
      </c>
      <c r="B51" s="19">
        <f>SUMIF(TA[Course],Summary[[#This Row],[Course]],TA[Fall Salary])</f>
        <v>0</v>
      </c>
      <c r="C51" s="59">
        <f>SUMIF(TA[Course],Summary[[#This Row],[Course]],TA[Spring Salary])</f>
        <v>0</v>
      </c>
      <c r="D51" s="27" t="str">
        <f>IF(Summary[[#This Row],[Fall TA Salary]]=0,"",Summary[[#This Row],[Fall TA Salary]]/TARate)</f>
        <v/>
      </c>
      <c r="E51" s="60" t="str">
        <f>IF(Summary[[#This Row],[Spring TA Salary]]=0,"",Summary[[#This Row],[Spring TA Salary]]/TARate)</f>
        <v/>
      </c>
      <c r="F51" s="18">
        <f>SUMIF(Reader[Course Number &amp; Title],Summary[[#This Row],[Course]],Reader[Fall Salary])</f>
        <v>0</v>
      </c>
      <c r="G51" s="61">
        <f>SUMIF(Reader[Course Number &amp; Title],Summary[[#This Row],[Course]],Reader[Spring Salary])</f>
        <v>0</v>
      </c>
    </row>
    <row r="52" spans="1:7" x14ac:dyDescent="0.25">
      <c r="A52" s="58" t="str">
        <f>IFERROR(INDEX(Courses[Course Number &amp; Name],ROW()-10,1),"")</f>
        <v/>
      </c>
      <c r="B52" s="19">
        <f>SUMIF(TA[Course],Summary[[#This Row],[Course]],TA[Fall Salary])</f>
        <v>0</v>
      </c>
      <c r="C52" s="59">
        <f>SUMIF(TA[Course],Summary[[#This Row],[Course]],TA[Spring Salary])</f>
        <v>0</v>
      </c>
      <c r="D52" s="27" t="str">
        <f>IF(Summary[[#This Row],[Fall TA Salary]]=0,"",Summary[[#This Row],[Fall TA Salary]]/TARate)</f>
        <v/>
      </c>
      <c r="E52" s="60" t="str">
        <f>IF(Summary[[#This Row],[Spring TA Salary]]=0,"",Summary[[#This Row],[Spring TA Salary]]/TARate)</f>
        <v/>
      </c>
      <c r="F52" s="18">
        <f>SUMIF(Reader[Course Number &amp; Title],Summary[[#This Row],[Course]],Reader[Fall Salary])</f>
        <v>0</v>
      </c>
      <c r="G52" s="61">
        <f>SUMIF(Reader[Course Number &amp; Title],Summary[[#This Row],[Course]],Reader[Spring Salary])</f>
        <v>0</v>
      </c>
    </row>
    <row r="53" spans="1:7" x14ac:dyDescent="0.25">
      <c r="A53" s="58" t="str">
        <f>IFERROR(INDEX(Courses[Course Number &amp; Name],ROW()-10,1),"")</f>
        <v/>
      </c>
      <c r="B53" s="19">
        <f>SUMIF(TA[Course],Summary[[#This Row],[Course]],TA[Fall Salary])</f>
        <v>0</v>
      </c>
      <c r="C53" s="59">
        <f>SUMIF(TA[Course],Summary[[#This Row],[Course]],TA[Spring Salary])</f>
        <v>0</v>
      </c>
      <c r="D53" s="27" t="str">
        <f>IF(Summary[[#This Row],[Fall TA Salary]]=0,"",Summary[[#This Row],[Fall TA Salary]]/TARate)</f>
        <v/>
      </c>
      <c r="E53" s="60" t="str">
        <f>IF(Summary[[#This Row],[Spring TA Salary]]=0,"",Summary[[#This Row],[Spring TA Salary]]/TARate)</f>
        <v/>
      </c>
      <c r="F53" s="18">
        <f>SUMIF(Reader[Course Number &amp; Title],Summary[[#This Row],[Course]],Reader[Fall Salary])</f>
        <v>0</v>
      </c>
      <c r="G53" s="61">
        <f>SUMIF(Reader[Course Number &amp; Title],Summary[[#This Row],[Course]],Reader[Spring Salary])</f>
        <v>0</v>
      </c>
    </row>
    <row r="54" spans="1:7" x14ac:dyDescent="0.25">
      <c r="A54" s="58" t="str">
        <f>IFERROR(INDEX(Courses[Course Number &amp; Name],ROW()-10,1),"")</f>
        <v/>
      </c>
      <c r="B54" s="19">
        <f>SUMIF(TA[Course],Summary[[#This Row],[Course]],TA[Fall Salary])</f>
        <v>0</v>
      </c>
      <c r="C54" s="59">
        <f>SUMIF(TA[Course],Summary[[#This Row],[Course]],TA[Spring Salary])</f>
        <v>0</v>
      </c>
      <c r="D54" s="27" t="str">
        <f>IF(Summary[[#This Row],[Fall TA Salary]]=0,"",Summary[[#This Row],[Fall TA Salary]]/TARate)</f>
        <v/>
      </c>
      <c r="E54" s="60" t="str">
        <f>IF(Summary[[#This Row],[Spring TA Salary]]=0,"",Summary[[#This Row],[Spring TA Salary]]/TARate)</f>
        <v/>
      </c>
      <c r="F54" s="18">
        <f>SUMIF(Reader[Course Number &amp; Title],Summary[[#This Row],[Course]],Reader[Fall Salary])</f>
        <v>0</v>
      </c>
      <c r="G54" s="61">
        <f>SUMIF(Reader[Course Number &amp; Title],Summary[[#This Row],[Course]],Reader[Spring Salary])</f>
        <v>0</v>
      </c>
    </row>
    <row r="55" spans="1:7" x14ac:dyDescent="0.25">
      <c r="A55" s="58" t="str">
        <f>IFERROR(INDEX(Courses[Course Number &amp; Name],ROW()-10,1),"")</f>
        <v/>
      </c>
      <c r="B55" s="19">
        <f>SUMIF(TA[Course],Summary[[#This Row],[Course]],TA[Fall Salary])</f>
        <v>0</v>
      </c>
      <c r="C55" s="59">
        <f>SUMIF(TA[Course],Summary[[#This Row],[Course]],TA[Spring Salary])</f>
        <v>0</v>
      </c>
      <c r="D55" s="27" t="str">
        <f>IF(Summary[[#This Row],[Fall TA Salary]]=0,"",Summary[[#This Row],[Fall TA Salary]]/TARate)</f>
        <v/>
      </c>
      <c r="E55" s="60" t="str">
        <f>IF(Summary[[#This Row],[Spring TA Salary]]=0,"",Summary[[#This Row],[Spring TA Salary]]/TARate)</f>
        <v/>
      </c>
      <c r="F55" s="18">
        <f>SUMIF(Reader[Course Number &amp; Title],Summary[[#This Row],[Course]],Reader[Fall Salary])</f>
        <v>0</v>
      </c>
      <c r="G55" s="61">
        <f>SUMIF(Reader[Course Number &amp; Title],Summary[[#This Row],[Course]],Reader[Spring Salary])</f>
        <v>0</v>
      </c>
    </row>
    <row r="56" spans="1:7" x14ac:dyDescent="0.25">
      <c r="A56" s="58" t="str">
        <f>IFERROR(INDEX(Courses[Course Number &amp; Name],ROW()-10,1),"")</f>
        <v/>
      </c>
      <c r="B56" s="19">
        <f>SUMIF(TA[Course],Summary[[#This Row],[Course]],TA[Fall Salary])</f>
        <v>0</v>
      </c>
      <c r="C56" s="59">
        <f>SUMIF(TA[Course],Summary[[#This Row],[Course]],TA[Spring Salary])</f>
        <v>0</v>
      </c>
      <c r="D56" s="27" t="str">
        <f>IF(Summary[[#This Row],[Fall TA Salary]]=0,"",Summary[[#This Row],[Fall TA Salary]]/TARate)</f>
        <v/>
      </c>
      <c r="E56" s="60" t="str">
        <f>IF(Summary[[#This Row],[Spring TA Salary]]=0,"",Summary[[#This Row],[Spring TA Salary]]/TARate)</f>
        <v/>
      </c>
      <c r="F56" s="18">
        <f>SUMIF(Reader[Course Number &amp; Title],Summary[[#This Row],[Course]],Reader[Fall Salary])</f>
        <v>0</v>
      </c>
      <c r="G56" s="61">
        <f>SUMIF(Reader[Course Number &amp; Title],Summary[[#This Row],[Course]],Reader[Spring Salary])</f>
        <v>0</v>
      </c>
    </row>
    <row r="57" spans="1:7" x14ac:dyDescent="0.25">
      <c r="A57" s="58" t="str">
        <f>IFERROR(INDEX(Courses[Course Number &amp; Name],ROW()-10,1),"")</f>
        <v/>
      </c>
      <c r="B57" s="19">
        <f>SUMIF(TA[Course],Summary[[#This Row],[Course]],TA[Fall Salary])</f>
        <v>0</v>
      </c>
      <c r="C57" s="59">
        <f>SUMIF(TA[Course],Summary[[#This Row],[Course]],TA[Spring Salary])</f>
        <v>0</v>
      </c>
      <c r="D57" s="27" t="str">
        <f>IF(Summary[[#This Row],[Fall TA Salary]]=0,"",Summary[[#This Row],[Fall TA Salary]]/TARate)</f>
        <v/>
      </c>
      <c r="E57" s="60" t="str">
        <f>IF(Summary[[#This Row],[Spring TA Salary]]=0,"",Summary[[#This Row],[Spring TA Salary]]/TARate)</f>
        <v/>
      </c>
      <c r="F57" s="18">
        <f>SUMIF(Reader[Course Number &amp; Title],Summary[[#This Row],[Course]],Reader[Fall Salary])</f>
        <v>0</v>
      </c>
      <c r="G57" s="61">
        <f>SUMIF(Reader[Course Number &amp; Title],Summary[[#This Row],[Course]],Reader[Spring Salary])</f>
        <v>0</v>
      </c>
    </row>
    <row r="58" spans="1:7" x14ac:dyDescent="0.25">
      <c r="A58" s="58" t="str">
        <f>IFERROR(INDEX(Courses[Course Number &amp; Name],ROW()-10,1),"")</f>
        <v/>
      </c>
      <c r="B58" s="19">
        <f>SUMIF(TA[Course],Summary[[#This Row],[Course]],TA[Fall Salary])</f>
        <v>0</v>
      </c>
      <c r="C58" s="59">
        <f>SUMIF(TA[Course],Summary[[#This Row],[Course]],TA[Spring Salary])</f>
        <v>0</v>
      </c>
      <c r="D58" s="27" t="str">
        <f>IF(Summary[[#This Row],[Fall TA Salary]]=0,"",Summary[[#This Row],[Fall TA Salary]]/TARate)</f>
        <v/>
      </c>
      <c r="E58" s="60" t="str">
        <f>IF(Summary[[#This Row],[Spring TA Salary]]=0,"",Summary[[#This Row],[Spring TA Salary]]/TARate)</f>
        <v/>
      </c>
      <c r="F58" s="18">
        <f>SUMIF(Reader[Course Number &amp; Title],Summary[[#This Row],[Course]],Reader[Fall Salary])</f>
        <v>0</v>
      </c>
      <c r="G58" s="61">
        <f>SUMIF(Reader[Course Number &amp; Title],Summary[[#This Row],[Course]],Reader[Spring Salary])</f>
        <v>0</v>
      </c>
    </row>
    <row r="59" spans="1:7" x14ac:dyDescent="0.25">
      <c r="A59" s="58" t="str">
        <f>IFERROR(INDEX(Courses[Course Number &amp; Name],ROW()-10,1),"")</f>
        <v/>
      </c>
      <c r="B59" s="19">
        <f>SUMIF(TA[Course],Summary[[#This Row],[Course]],TA[Fall Salary])</f>
        <v>0</v>
      </c>
      <c r="C59" s="59">
        <f>SUMIF(TA[Course],Summary[[#This Row],[Course]],TA[Spring Salary])</f>
        <v>0</v>
      </c>
      <c r="D59" s="27" t="str">
        <f>IF(Summary[[#This Row],[Fall TA Salary]]=0,"",Summary[[#This Row],[Fall TA Salary]]/TARate)</f>
        <v/>
      </c>
      <c r="E59" s="60" t="str">
        <f>IF(Summary[[#This Row],[Spring TA Salary]]=0,"",Summary[[#This Row],[Spring TA Salary]]/TARate)</f>
        <v/>
      </c>
      <c r="F59" s="18">
        <f>SUMIF(Reader[Course Number &amp; Title],Summary[[#This Row],[Course]],Reader[Fall Salary])</f>
        <v>0</v>
      </c>
      <c r="G59" s="61">
        <f>SUMIF(Reader[Course Number &amp; Title],Summary[[#This Row],[Course]],Reader[Spring Salary])</f>
        <v>0</v>
      </c>
    </row>
    <row r="60" spans="1:7" x14ac:dyDescent="0.25">
      <c r="A60" s="58" t="str">
        <f>IFERROR(INDEX(Courses[Course Number &amp; Name],ROW()-10,1),"")</f>
        <v/>
      </c>
      <c r="B60" s="19">
        <f>SUMIF(TA[Course],Summary[[#This Row],[Course]],TA[Fall Salary])</f>
        <v>0</v>
      </c>
      <c r="C60" s="59">
        <f>SUMIF(TA[Course],Summary[[#This Row],[Course]],TA[Spring Salary])</f>
        <v>0</v>
      </c>
      <c r="D60" s="27" t="str">
        <f>IF(Summary[[#This Row],[Fall TA Salary]]=0,"",Summary[[#This Row],[Fall TA Salary]]/TARate)</f>
        <v/>
      </c>
      <c r="E60" s="60" t="str">
        <f>IF(Summary[[#This Row],[Spring TA Salary]]=0,"",Summary[[#This Row],[Spring TA Salary]]/TARate)</f>
        <v/>
      </c>
      <c r="F60" s="18">
        <f>SUMIF(Reader[Course Number &amp; Title],Summary[[#This Row],[Course]],Reader[Fall Salary])</f>
        <v>0</v>
      </c>
      <c r="G60" s="61">
        <f>SUMIF(Reader[Course Number &amp; Title],Summary[[#This Row],[Course]],Reader[Spring Salary])</f>
        <v>0</v>
      </c>
    </row>
    <row r="61" spans="1:7" x14ac:dyDescent="0.25">
      <c r="A61" s="58" t="str">
        <f>IFERROR(INDEX(Courses[Course Number &amp; Name],ROW()-10,1),"")</f>
        <v/>
      </c>
      <c r="B61" s="19">
        <f>SUMIF(TA[Course],Summary[[#This Row],[Course]],TA[Fall Salary])</f>
        <v>0</v>
      </c>
      <c r="C61" s="59">
        <f>SUMIF(TA[Course],Summary[[#This Row],[Course]],TA[Spring Salary])</f>
        <v>0</v>
      </c>
      <c r="D61" s="27" t="str">
        <f>IF(Summary[[#This Row],[Fall TA Salary]]=0,"",Summary[[#This Row],[Fall TA Salary]]/TARate)</f>
        <v/>
      </c>
      <c r="E61" s="60" t="str">
        <f>IF(Summary[[#This Row],[Spring TA Salary]]=0,"",Summary[[#This Row],[Spring TA Salary]]/TARate)</f>
        <v/>
      </c>
      <c r="F61" s="18">
        <f>SUMIF(Reader[Course Number &amp; Title],Summary[[#This Row],[Course]],Reader[Fall Salary])</f>
        <v>0</v>
      </c>
      <c r="G61" s="61">
        <f>SUMIF(Reader[Course Number &amp; Title],Summary[[#This Row],[Course]],Reader[Spring Salary])</f>
        <v>0</v>
      </c>
    </row>
    <row r="62" spans="1:7" x14ac:dyDescent="0.25">
      <c r="A62" s="58" t="str">
        <f>IFERROR(INDEX(Courses[Course Number &amp; Name],ROW()-10,1),"")</f>
        <v/>
      </c>
      <c r="B62" s="19">
        <f>SUMIF(TA[Course],Summary[[#This Row],[Course]],TA[Fall Salary])</f>
        <v>0</v>
      </c>
      <c r="C62" s="59">
        <f>SUMIF(TA[Course],Summary[[#This Row],[Course]],TA[Spring Salary])</f>
        <v>0</v>
      </c>
      <c r="D62" s="27" t="str">
        <f>IF(Summary[[#This Row],[Fall TA Salary]]=0,"",Summary[[#This Row],[Fall TA Salary]]/TARate)</f>
        <v/>
      </c>
      <c r="E62" s="60" t="str">
        <f>IF(Summary[[#This Row],[Spring TA Salary]]=0,"",Summary[[#This Row],[Spring TA Salary]]/TARate)</f>
        <v/>
      </c>
      <c r="F62" s="18">
        <f>SUMIF(Reader[Course Number &amp; Title],Summary[[#This Row],[Course]],Reader[Fall Salary])</f>
        <v>0</v>
      </c>
      <c r="G62" s="61">
        <f>SUMIF(Reader[Course Number &amp; Title],Summary[[#This Row],[Course]],Reader[Spring Salary])</f>
        <v>0</v>
      </c>
    </row>
    <row r="63" spans="1:7" x14ac:dyDescent="0.25">
      <c r="A63" s="58" t="str">
        <f>IFERROR(INDEX(Courses[Course Number &amp; Name],ROW()-10,1),"")</f>
        <v/>
      </c>
      <c r="B63" s="19">
        <f>SUMIF(TA[Course],Summary[[#This Row],[Course]],TA[Fall Salary])</f>
        <v>0</v>
      </c>
      <c r="C63" s="59">
        <f>SUMIF(TA[Course],Summary[[#This Row],[Course]],TA[Spring Salary])</f>
        <v>0</v>
      </c>
      <c r="D63" s="27" t="str">
        <f>IF(Summary[[#This Row],[Fall TA Salary]]=0,"",Summary[[#This Row],[Fall TA Salary]]/TARate)</f>
        <v/>
      </c>
      <c r="E63" s="60" t="str">
        <f>IF(Summary[[#This Row],[Spring TA Salary]]=0,"",Summary[[#This Row],[Spring TA Salary]]/TARate)</f>
        <v/>
      </c>
      <c r="F63" s="18">
        <f>SUMIF(Reader[Course Number &amp; Title],Summary[[#This Row],[Course]],Reader[Fall Salary])</f>
        <v>0</v>
      </c>
      <c r="G63" s="61">
        <f>SUMIF(Reader[Course Number &amp; Title],Summary[[#This Row],[Course]],Reader[Spring Salary])</f>
        <v>0</v>
      </c>
    </row>
    <row r="64" spans="1:7" x14ac:dyDescent="0.25">
      <c r="A64" s="58" t="str">
        <f>IFERROR(INDEX(Courses[Course Number &amp; Name],ROW()-10,1),"")</f>
        <v/>
      </c>
      <c r="B64" s="19">
        <f>SUMIF(TA[Course],Summary[[#This Row],[Course]],TA[Fall Salary])</f>
        <v>0</v>
      </c>
      <c r="C64" s="59">
        <f>SUMIF(TA[Course],Summary[[#This Row],[Course]],TA[Spring Salary])</f>
        <v>0</v>
      </c>
      <c r="D64" s="27" t="str">
        <f>IF(Summary[[#This Row],[Fall TA Salary]]=0,"",Summary[[#This Row],[Fall TA Salary]]/TARate)</f>
        <v/>
      </c>
      <c r="E64" s="60" t="str">
        <f>IF(Summary[[#This Row],[Spring TA Salary]]=0,"",Summary[[#This Row],[Spring TA Salary]]/TARate)</f>
        <v/>
      </c>
      <c r="F64" s="18">
        <f>SUMIF(Reader[Course Number &amp; Title],Summary[[#This Row],[Course]],Reader[Fall Salary])</f>
        <v>0</v>
      </c>
      <c r="G64" s="61">
        <f>SUMIF(Reader[Course Number &amp; Title],Summary[[#This Row],[Course]],Reader[Spring Salary])</f>
        <v>0</v>
      </c>
    </row>
    <row r="65" spans="1:7" x14ac:dyDescent="0.25">
      <c r="A65" s="58" t="str">
        <f>IFERROR(INDEX(Courses[Course Number &amp; Name],ROW()-10,1),"")</f>
        <v/>
      </c>
      <c r="B65" s="19">
        <f>SUMIF(TA[Course],Summary[[#This Row],[Course]],TA[Fall Salary])</f>
        <v>0</v>
      </c>
      <c r="C65" s="59">
        <f>SUMIF(TA[Course],Summary[[#This Row],[Course]],TA[Spring Salary])</f>
        <v>0</v>
      </c>
      <c r="D65" s="27" t="str">
        <f>IF(Summary[[#This Row],[Fall TA Salary]]=0,"",Summary[[#This Row],[Fall TA Salary]]/TARate)</f>
        <v/>
      </c>
      <c r="E65" s="60" t="str">
        <f>IF(Summary[[#This Row],[Spring TA Salary]]=0,"",Summary[[#This Row],[Spring TA Salary]]/TARate)</f>
        <v/>
      </c>
      <c r="F65" s="18">
        <f>SUMIF(Reader[Course Number &amp; Title],Summary[[#This Row],[Course]],Reader[Fall Salary])</f>
        <v>0</v>
      </c>
      <c r="G65" s="61">
        <f>SUMIF(Reader[Course Number &amp; Title],Summary[[#This Row],[Course]],Reader[Spring Salary])</f>
        <v>0</v>
      </c>
    </row>
    <row r="66" spans="1:7" x14ac:dyDescent="0.25">
      <c r="A66" s="58" t="str">
        <f>IFERROR(INDEX(Courses[Course Number &amp; Name],ROW()-10,1),"")</f>
        <v/>
      </c>
      <c r="B66" s="19">
        <f>SUMIF(TA[Course],Summary[[#This Row],[Course]],TA[Fall Salary])</f>
        <v>0</v>
      </c>
      <c r="C66" s="59">
        <f>SUMIF(TA[Course],Summary[[#This Row],[Course]],TA[Spring Salary])</f>
        <v>0</v>
      </c>
      <c r="D66" s="27" t="str">
        <f>IF(Summary[[#This Row],[Fall TA Salary]]=0,"",Summary[[#This Row],[Fall TA Salary]]/TARate)</f>
        <v/>
      </c>
      <c r="E66" s="60" t="str">
        <f>IF(Summary[[#This Row],[Spring TA Salary]]=0,"",Summary[[#This Row],[Spring TA Salary]]/TARate)</f>
        <v/>
      </c>
      <c r="F66" s="18">
        <f>SUMIF(Reader[Course Number &amp; Title],Summary[[#This Row],[Course]],Reader[Fall Salary])</f>
        <v>0</v>
      </c>
      <c r="G66" s="61">
        <f>SUMIF(Reader[Course Number &amp; Title],Summary[[#This Row],[Course]],Reader[Spring Salary])</f>
        <v>0</v>
      </c>
    </row>
    <row r="67" spans="1:7" x14ac:dyDescent="0.25">
      <c r="A67" s="58" t="str">
        <f>IFERROR(INDEX(Courses[Course Number &amp; Name],ROW()-10,1),"")</f>
        <v/>
      </c>
      <c r="B67" s="19">
        <f>SUMIF(TA[Course],Summary[[#This Row],[Course]],TA[Fall Salary])</f>
        <v>0</v>
      </c>
      <c r="C67" s="59">
        <f>SUMIF(TA[Course],Summary[[#This Row],[Course]],TA[Spring Salary])</f>
        <v>0</v>
      </c>
      <c r="D67" s="27" t="str">
        <f>IF(Summary[[#This Row],[Fall TA Salary]]=0,"",Summary[[#This Row],[Fall TA Salary]]/TARate)</f>
        <v/>
      </c>
      <c r="E67" s="60" t="str">
        <f>IF(Summary[[#This Row],[Spring TA Salary]]=0,"",Summary[[#This Row],[Spring TA Salary]]/TARate)</f>
        <v/>
      </c>
      <c r="F67" s="18">
        <f>SUMIF(Reader[Course Number &amp; Title],Summary[[#This Row],[Course]],Reader[Fall Salary])</f>
        <v>0</v>
      </c>
      <c r="G67" s="61">
        <f>SUMIF(Reader[Course Number &amp; Title],Summary[[#This Row],[Course]],Reader[Spring Salary])</f>
        <v>0</v>
      </c>
    </row>
    <row r="68" spans="1:7" x14ac:dyDescent="0.25">
      <c r="A68" s="58" t="str">
        <f>IFERROR(INDEX(Courses[Course Number &amp; Name],ROW()-10,1),"")</f>
        <v/>
      </c>
      <c r="B68" s="19">
        <f>SUMIF(TA[Course],Summary[[#This Row],[Course]],TA[Fall Salary])</f>
        <v>0</v>
      </c>
      <c r="C68" s="59">
        <f>SUMIF(TA[Course],Summary[[#This Row],[Course]],TA[Spring Salary])</f>
        <v>0</v>
      </c>
      <c r="D68" s="27" t="str">
        <f>IF(Summary[[#This Row],[Fall TA Salary]]=0,"",Summary[[#This Row],[Fall TA Salary]]/TARate)</f>
        <v/>
      </c>
      <c r="E68" s="60" t="str">
        <f>IF(Summary[[#This Row],[Spring TA Salary]]=0,"",Summary[[#This Row],[Spring TA Salary]]/TARate)</f>
        <v/>
      </c>
      <c r="F68" s="18">
        <f>SUMIF(Reader[Course Number &amp; Title],Summary[[#This Row],[Course]],Reader[Fall Salary])</f>
        <v>0</v>
      </c>
      <c r="G68" s="61">
        <f>SUMIF(Reader[Course Number &amp; Title],Summary[[#This Row],[Course]],Reader[Spring Salary])</f>
        <v>0</v>
      </c>
    </row>
    <row r="69" spans="1:7" x14ac:dyDescent="0.25">
      <c r="A69" s="58" t="str">
        <f>IFERROR(INDEX(Courses[Course Number &amp; Name],ROW()-10,1),"")</f>
        <v/>
      </c>
      <c r="B69" s="19">
        <f>SUMIF(TA[Course],Summary[[#This Row],[Course]],TA[Fall Salary])</f>
        <v>0</v>
      </c>
      <c r="C69" s="59">
        <f>SUMIF(TA[Course],Summary[[#This Row],[Course]],TA[Spring Salary])</f>
        <v>0</v>
      </c>
      <c r="D69" s="27" t="str">
        <f>IF(Summary[[#This Row],[Fall TA Salary]]=0,"",Summary[[#This Row],[Fall TA Salary]]/TARate)</f>
        <v/>
      </c>
      <c r="E69" s="60" t="str">
        <f>IF(Summary[[#This Row],[Spring TA Salary]]=0,"",Summary[[#This Row],[Spring TA Salary]]/TARate)</f>
        <v/>
      </c>
      <c r="F69" s="18">
        <f>SUMIF(Reader[Course Number &amp; Title],Summary[[#This Row],[Course]],Reader[Fall Salary])</f>
        <v>0</v>
      </c>
      <c r="G69" s="61">
        <f>SUMIF(Reader[Course Number &amp; Title],Summary[[#This Row],[Course]],Reader[Spring Salary])</f>
        <v>0</v>
      </c>
    </row>
    <row r="70" spans="1:7" x14ac:dyDescent="0.25">
      <c r="A70" s="58" t="str">
        <f>IFERROR(INDEX(Courses[Course Number &amp; Name],ROW()-10,1),"")</f>
        <v/>
      </c>
      <c r="B70" s="19">
        <f>SUMIF(TA[Course],Summary[[#This Row],[Course]],TA[Fall Salary])</f>
        <v>0</v>
      </c>
      <c r="C70" s="59">
        <f>SUMIF(TA[Course],Summary[[#This Row],[Course]],TA[Spring Salary])</f>
        <v>0</v>
      </c>
      <c r="D70" s="27" t="str">
        <f>IF(Summary[[#This Row],[Fall TA Salary]]=0,"",Summary[[#This Row],[Fall TA Salary]]/TARate)</f>
        <v/>
      </c>
      <c r="E70" s="60" t="str">
        <f>IF(Summary[[#This Row],[Spring TA Salary]]=0,"",Summary[[#This Row],[Spring TA Salary]]/TARate)</f>
        <v/>
      </c>
      <c r="F70" s="18">
        <f>SUMIF(Reader[Course Number &amp; Title],Summary[[#This Row],[Course]],Reader[Fall Salary])</f>
        <v>0</v>
      </c>
      <c r="G70" s="61">
        <f>SUMIF(Reader[Course Number &amp; Title],Summary[[#This Row],[Course]],Reader[Spring Salary])</f>
        <v>0</v>
      </c>
    </row>
    <row r="71" spans="1:7" x14ac:dyDescent="0.25">
      <c r="A71" s="58" t="str">
        <f>IFERROR(INDEX(Courses[Course Number &amp; Name],ROW()-10,1),"")</f>
        <v/>
      </c>
      <c r="B71" s="19">
        <f>SUMIF(TA[Course],Summary[[#This Row],[Course]],TA[Fall Salary])</f>
        <v>0</v>
      </c>
      <c r="C71" s="59">
        <f>SUMIF(TA[Course],Summary[[#This Row],[Course]],TA[Spring Salary])</f>
        <v>0</v>
      </c>
      <c r="D71" s="27" t="str">
        <f>IF(Summary[[#This Row],[Fall TA Salary]]=0,"",Summary[[#This Row],[Fall TA Salary]]/TARate)</f>
        <v/>
      </c>
      <c r="E71" s="60" t="str">
        <f>IF(Summary[[#This Row],[Spring TA Salary]]=0,"",Summary[[#This Row],[Spring TA Salary]]/TARate)</f>
        <v/>
      </c>
      <c r="F71" s="18">
        <f>SUMIF(Reader[Course Number &amp; Title],Summary[[#This Row],[Course]],Reader[Fall Salary])</f>
        <v>0</v>
      </c>
      <c r="G71" s="61">
        <f>SUMIF(Reader[Course Number &amp; Title],Summary[[#This Row],[Course]],Reader[Spring Salary])</f>
        <v>0</v>
      </c>
    </row>
    <row r="72" spans="1:7" x14ac:dyDescent="0.25">
      <c r="A72" s="58" t="str">
        <f>IFERROR(INDEX(Courses[Course Number &amp; Name],ROW()-10,1),"")</f>
        <v/>
      </c>
      <c r="B72" s="19">
        <f>SUMIF(TA[Course],Summary[[#This Row],[Course]],TA[Fall Salary])</f>
        <v>0</v>
      </c>
      <c r="C72" s="59">
        <f>SUMIF(TA[Course],Summary[[#This Row],[Course]],TA[Spring Salary])</f>
        <v>0</v>
      </c>
      <c r="D72" s="27" t="str">
        <f>IF(Summary[[#This Row],[Fall TA Salary]]=0,"",Summary[[#This Row],[Fall TA Salary]]/TARate)</f>
        <v/>
      </c>
      <c r="E72" s="60" t="str">
        <f>IF(Summary[[#This Row],[Spring TA Salary]]=0,"",Summary[[#This Row],[Spring TA Salary]]/TARate)</f>
        <v/>
      </c>
      <c r="F72" s="18">
        <f>SUMIF(Reader[Course Number &amp; Title],Summary[[#This Row],[Course]],Reader[Fall Salary])</f>
        <v>0</v>
      </c>
      <c r="G72" s="61">
        <f>SUMIF(Reader[Course Number &amp; Title],Summary[[#This Row],[Course]],Reader[Spring Salary])</f>
        <v>0</v>
      </c>
    </row>
    <row r="73" spans="1:7" x14ac:dyDescent="0.25">
      <c r="A73" s="58" t="str">
        <f>IFERROR(INDEX(Courses[Course Number &amp; Name],ROW()-10,1),"")</f>
        <v/>
      </c>
      <c r="B73" s="19">
        <f>SUMIF(TA[Course],Summary[[#This Row],[Course]],TA[Fall Salary])</f>
        <v>0</v>
      </c>
      <c r="C73" s="59">
        <f>SUMIF(TA[Course],Summary[[#This Row],[Course]],TA[Spring Salary])</f>
        <v>0</v>
      </c>
      <c r="D73" s="27" t="str">
        <f>IF(Summary[[#This Row],[Fall TA Salary]]=0,"",Summary[[#This Row],[Fall TA Salary]]/TARate)</f>
        <v/>
      </c>
      <c r="E73" s="60" t="str">
        <f>IF(Summary[[#This Row],[Spring TA Salary]]=0,"",Summary[[#This Row],[Spring TA Salary]]/TARate)</f>
        <v/>
      </c>
      <c r="F73" s="18">
        <f>SUMIF(Reader[Course Number &amp; Title],Summary[[#This Row],[Course]],Reader[Fall Salary])</f>
        <v>0</v>
      </c>
      <c r="G73" s="61">
        <f>SUMIF(Reader[Course Number &amp; Title],Summary[[#This Row],[Course]],Reader[Spring Salary])</f>
        <v>0</v>
      </c>
    </row>
    <row r="74" spans="1:7" x14ac:dyDescent="0.25">
      <c r="A74" s="58" t="str">
        <f>IFERROR(INDEX(Courses[Course Number &amp; Name],ROW()-10,1),"")</f>
        <v/>
      </c>
      <c r="B74" s="19">
        <f>SUMIF(TA[Course],Summary[[#This Row],[Course]],TA[Fall Salary])</f>
        <v>0</v>
      </c>
      <c r="C74" s="59">
        <f>SUMIF(TA[Course],Summary[[#This Row],[Course]],TA[Spring Salary])</f>
        <v>0</v>
      </c>
      <c r="D74" s="27" t="str">
        <f>IF(Summary[[#This Row],[Fall TA Salary]]=0,"",Summary[[#This Row],[Fall TA Salary]]/TARate)</f>
        <v/>
      </c>
      <c r="E74" s="60" t="str">
        <f>IF(Summary[[#This Row],[Spring TA Salary]]=0,"",Summary[[#This Row],[Spring TA Salary]]/TARate)</f>
        <v/>
      </c>
      <c r="F74" s="18">
        <f>SUMIF(Reader[Course Number &amp; Title],Summary[[#This Row],[Course]],Reader[Fall Salary])</f>
        <v>0</v>
      </c>
      <c r="G74" s="61">
        <f>SUMIF(Reader[Course Number &amp; Title],Summary[[#This Row],[Course]],Reader[Spring Salary])</f>
        <v>0</v>
      </c>
    </row>
    <row r="75" spans="1:7" x14ac:dyDescent="0.25">
      <c r="A75" s="58" t="str">
        <f>IFERROR(INDEX(Courses[Course Number &amp; Name],ROW()-10,1),"")</f>
        <v/>
      </c>
      <c r="B75" s="19">
        <f>SUMIF(TA[Course],Summary[[#This Row],[Course]],TA[Fall Salary])</f>
        <v>0</v>
      </c>
      <c r="C75" s="59">
        <f>SUMIF(TA[Course],Summary[[#This Row],[Course]],TA[Spring Salary])</f>
        <v>0</v>
      </c>
      <c r="D75" s="27" t="str">
        <f>IF(Summary[[#This Row],[Fall TA Salary]]=0,"",Summary[[#This Row],[Fall TA Salary]]/TARate)</f>
        <v/>
      </c>
      <c r="E75" s="60" t="str">
        <f>IF(Summary[[#This Row],[Spring TA Salary]]=0,"",Summary[[#This Row],[Spring TA Salary]]/TARate)</f>
        <v/>
      </c>
      <c r="F75" s="18">
        <f>SUMIF(Reader[Course Number &amp; Title],Summary[[#This Row],[Course]],Reader[Fall Salary])</f>
        <v>0</v>
      </c>
      <c r="G75" s="61">
        <f>SUMIF(Reader[Course Number &amp; Title],Summary[[#This Row],[Course]],Reader[Spring Salary])</f>
        <v>0</v>
      </c>
    </row>
    <row r="76" spans="1:7" x14ac:dyDescent="0.25">
      <c r="A76" s="58" t="str">
        <f>IFERROR(INDEX(Courses[Course Number &amp; Name],ROW()-10,1),"")</f>
        <v/>
      </c>
      <c r="B76" s="19">
        <f>SUMIF(TA[Course],Summary[[#This Row],[Course]],TA[Fall Salary])</f>
        <v>0</v>
      </c>
      <c r="C76" s="59">
        <f>SUMIF(TA[Course],Summary[[#This Row],[Course]],TA[Spring Salary])</f>
        <v>0</v>
      </c>
      <c r="D76" s="27" t="str">
        <f>IF(Summary[[#This Row],[Fall TA Salary]]=0,"",Summary[[#This Row],[Fall TA Salary]]/TARate)</f>
        <v/>
      </c>
      <c r="E76" s="60" t="str">
        <f>IF(Summary[[#This Row],[Spring TA Salary]]=0,"",Summary[[#This Row],[Spring TA Salary]]/TARate)</f>
        <v/>
      </c>
      <c r="F76" s="18">
        <f>SUMIF(Reader[Course Number &amp; Title],Summary[[#This Row],[Course]],Reader[Fall Salary])</f>
        <v>0</v>
      </c>
      <c r="G76" s="61">
        <f>SUMIF(Reader[Course Number &amp; Title],Summary[[#This Row],[Course]],Reader[Spring Salary])</f>
        <v>0</v>
      </c>
    </row>
    <row r="77" spans="1:7" x14ac:dyDescent="0.25">
      <c r="A77" s="58" t="str">
        <f>IFERROR(INDEX(Courses[Course Number &amp; Name],ROW()-10,1),"")</f>
        <v/>
      </c>
      <c r="B77" s="19">
        <f>SUMIF(TA[Course],Summary[[#This Row],[Course]],TA[Fall Salary])</f>
        <v>0</v>
      </c>
      <c r="C77" s="59">
        <f>SUMIF(TA[Course],Summary[[#This Row],[Course]],TA[Spring Salary])</f>
        <v>0</v>
      </c>
      <c r="D77" s="27" t="str">
        <f>IF(Summary[[#This Row],[Fall TA Salary]]=0,"",Summary[[#This Row],[Fall TA Salary]]/TARate)</f>
        <v/>
      </c>
      <c r="E77" s="60" t="str">
        <f>IF(Summary[[#This Row],[Spring TA Salary]]=0,"",Summary[[#This Row],[Spring TA Salary]]/TARate)</f>
        <v/>
      </c>
      <c r="F77" s="18">
        <f>SUMIF(Reader[Course Number &amp; Title],Summary[[#This Row],[Course]],Reader[Fall Salary])</f>
        <v>0</v>
      </c>
      <c r="G77" s="61">
        <f>SUMIF(Reader[Course Number &amp; Title],Summary[[#This Row],[Course]],Reader[Spring Salary])</f>
        <v>0</v>
      </c>
    </row>
    <row r="78" spans="1:7" x14ac:dyDescent="0.25">
      <c r="A78" s="58" t="str">
        <f>IFERROR(INDEX(Courses[Course Number &amp; Name],ROW()-10,1),"")</f>
        <v/>
      </c>
      <c r="B78" s="19">
        <f>SUMIF(TA[Course],Summary[[#This Row],[Course]],TA[Fall Salary])</f>
        <v>0</v>
      </c>
      <c r="C78" s="59">
        <f>SUMIF(TA[Course],Summary[[#This Row],[Course]],TA[Spring Salary])</f>
        <v>0</v>
      </c>
      <c r="D78" s="27" t="str">
        <f>IF(Summary[[#This Row],[Fall TA Salary]]=0,"",Summary[[#This Row],[Fall TA Salary]]/TARate)</f>
        <v/>
      </c>
      <c r="E78" s="60" t="str">
        <f>IF(Summary[[#This Row],[Spring TA Salary]]=0,"",Summary[[#This Row],[Spring TA Salary]]/TARate)</f>
        <v/>
      </c>
      <c r="F78" s="18">
        <f>SUMIF(Reader[Course Number &amp; Title],Summary[[#This Row],[Course]],Reader[Fall Salary])</f>
        <v>0</v>
      </c>
      <c r="G78" s="61">
        <f>SUMIF(Reader[Course Number &amp; Title],Summary[[#This Row],[Course]],Reader[Spring Salary])</f>
        <v>0</v>
      </c>
    </row>
    <row r="79" spans="1:7" x14ac:dyDescent="0.25">
      <c r="A79" s="58" t="str">
        <f>IFERROR(INDEX(Courses[Course Number &amp; Name],ROW()-10,1),"")</f>
        <v/>
      </c>
      <c r="B79" s="19">
        <f>SUMIF(TA[Course],Summary[[#This Row],[Course]],TA[Fall Salary])</f>
        <v>0</v>
      </c>
      <c r="C79" s="59">
        <f>SUMIF(TA[Course],Summary[[#This Row],[Course]],TA[Spring Salary])</f>
        <v>0</v>
      </c>
      <c r="D79" s="27" t="str">
        <f>IF(Summary[[#This Row],[Fall TA Salary]]=0,"",Summary[[#This Row],[Fall TA Salary]]/TARate)</f>
        <v/>
      </c>
      <c r="E79" s="60" t="str">
        <f>IF(Summary[[#This Row],[Spring TA Salary]]=0,"",Summary[[#This Row],[Spring TA Salary]]/TARate)</f>
        <v/>
      </c>
      <c r="F79" s="18">
        <f>SUMIF(Reader[Course Number &amp; Title],Summary[[#This Row],[Course]],Reader[Fall Salary])</f>
        <v>0</v>
      </c>
      <c r="G79" s="61">
        <f>SUMIF(Reader[Course Number &amp; Title],Summary[[#This Row],[Course]],Reader[Spring Salary])</f>
        <v>0</v>
      </c>
    </row>
    <row r="80" spans="1:7" x14ac:dyDescent="0.25">
      <c r="A80" s="58" t="str">
        <f>IFERROR(INDEX(Courses[Course Number &amp; Name],ROW()-10,1),"")</f>
        <v/>
      </c>
      <c r="B80" s="19">
        <f>SUMIF(TA[Course],Summary[[#This Row],[Course]],TA[Fall Salary])</f>
        <v>0</v>
      </c>
      <c r="C80" s="59">
        <f>SUMIF(TA[Course],Summary[[#This Row],[Course]],TA[Spring Salary])</f>
        <v>0</v>
      </c>
      <c r="D80" s="27" t="str">
        <f>IF(Summary[[#This Row],[Fall TA Salary]]=0,"",Summary[[#This Row],[Fall TA Salary]]/TARate)</f>
        <v/>
      </c>
      <c r="E80" s="60" t="str">
        <f>IF(Summary[[#This Row],[Spring TA Salary]]=0,"",Summary[[#This Row],[Spring TA Salary]]/TARate)</f>
        <v/>
      </c>
      <c r="F80" s="18">
        <f>SUMIF(Reader[Course Number &amp; Title],Summary[[#This Row],[Course]],Reader[Fall Salary])</f>
        <v>0</v>
      </c>
      <c r="G80" s="61">
        <f>SUMIF(Reader[Course Number &amp; Title],Summary[[#This Row],[Course]],Reader[Spring Salary])</f>
        <v>0</v>
      </c>
    </row>
    <row r="81" spans="1:7" x14ac:dyDescent="0.25">
      <c r="A81" s="58" t="str">
        <f>IFERROR(INDEX(Courses[Course Number &amp; Name],ROW()-10,1),"")</f>
        <v/>
      </c>
      <c r="B81" s="19">
        <f>SUMIF(TA[Course],Summary[[#This Row],[Course]],TA[Fall Salary])</f>
        <v>0</v>
      </c>
      <c r="C81" s="59">
        <f>SUMIF(TA[Course],Summary[[#This Row],[Course]],TA[Spring Salary])</f>
        <v>0</v>
      </c>
      <c r="D81" s="27" t="str">
        <f>IF(Summary[[#This Row],[Fall TA Salary]]=0,"",Summary[[#This Row],[Fall TA Salary]]/TARate)</f>
        <v/>
      </c>
      <c r="E81" s="60" t="str">
        <f>IF(Summary[[#This Row],[Spring TA Salary]]=0,"",Summary[[#This Row],[Spring TA Salary]]/TARate)</f>
        <v/>
      </c>
      <c r="F81" s="18">
        <f>SUMIF(Reader[Course Number &amp; Title],Summary[[#This Row],[Course]],Reader[Fall Salary])</f>
        <v>0</v>
      </c>
      <c r="G81" s="61">
        <f>SUMIF(Reader[Course Number &amp; Title],Summary[[#This Row],[Course]],Reader[Spring Salary])</f>
        <v>0</v>
      </c>
    </row>
    <row r="82" spans="1:7" x14ac:dyDescent="0.25">
      <c r="A82" s="58" t="str">
        <f>IFERROR(INDEX(Courses[Course Number &amp; Name],ROW()-10,1),"")</f>
        <v/>
      </c>
      <c r="B82" s="19">
        <f>SUMIF(TA[Course],Summary[[#This Row],[Course]],TA[Fall Salary])</f>
        <v>0</v>
      </c>
      <c r="C82" s="59">
        <f>SUMIF(TA[Course],Summary[[#This Row],[Course]],TA[Spring Salary])</f>
        <v>0</v>
      </c>
      <c r="D82" s="27" t="str">
        <f>IF(Summary[[#This Row],[Fall TA Salary]]=0,"",Summary[[#This Row],[Fall TA Salary]]/TARate)</f>
        <v/>
      </c>
      <c r="E82" s="60" t="str">
        <f>IF(Summary[[#This Row],[Spring TA Salary]]=0,"",Summary[[#This Row],[Spring TA Salary]]/TARate)</f>
        <v/>
      </c>
      <c r="F82" s="18">
        <f>SUMIF(Reader[Course Number &amp; Title],Summary[[#This Row],[Course]],Reader[Fall Salary])</f>
        <v>0</v>
      </c>
      <c r="G82" s="61">
        <f>SUMIF(Reader[Course Number &amp; Title],Summary[[#This Row],[Course]],Reader[Spring Salary])</f>
        <v>0</v>
      </c>
    </row>
    <row r="83" spans="1:7" x14ac:dyDescent="0.25">
      <c r="A83" s="58" t="str">
        <f>IFERROR(INDEX(Courses[Course Number &amp; Name],ROW()-10,1),"")</f>
        <v/>
      </c>
      <c r="B83" s="19">
        <f>SUMIF(TA[Course],Summary[[#This Row],[Course]],TA[Fall Salary])</f>
        <v>0</v>
      </c>
      <c r="C83" s="59">
        <f>SUMIF(TA[Course],Summary[[#This Row],[Course]],TA[Spring Salary])</f>
        <v>0</v>
      </c>
      <c r="D83" s="27" t="str">
        <f>IF(Summary[[#This Row],[Fall TA Salary]]=0,"",Summary[[#This Row],[Fall TA Salary]]/TARate)</f>
        <v/>
      </c>
      <c r="E83" s="60" t="str">
        <f>IF(Summary[[#This Row],[Spring TA Salary]]=0,"",Summary[[#This Row],[Spring TA Salary]]/TARate)</f>
        <v/>
      </c>
      <c r="F83" s="18">
        <f>SUMIF(Reader[Course Number &amp; Title],Summary[[#This Row],[Course]],Reader[Fall Salary])</f>
        <v>0</v>
      </c>
      <c r="G83" s="61">
        <f>SUMIF(Reader[Course Number &amp; Title],Summary[[#This Row],[Course]],Reader[Spring Salary])</f>
        <v>0</v>
      </c>
    </row>
    <row r="84" spans="1:7" x14ac:dyDescent="0.25">
      <c r="A84" s="58" t="str">
        <f>IFERROR(INDEX(Courses[Course Number &amp; Name],ROW()-10,1),"")</f>
        <v/>
      </c>
      <c r="B84" s="19">
        <f>SUMIF(TA[Course],Summary[[#This Row],[Course]],TA[Fall Salary])</f>
        <v>0</v>
      </c>
      <c r="C84" s="59">
        <f>SUMIF(TA[Course],Summary[[#This Row],[Course]],TA[Spring Salary])</f>
        <v>0</v>
      </c>
      <c r="D84" s="27" t="str">
        <f>IF(Summary[[#This Row],[Fall TA Salary]]=0,"",Summary[[#This Row],[Fall TA Salary]]/TARate)</f>
        <v/>
      </c>
      <c r="E84" s="60" t="str">
        <f>IF(Summary[[#This Row],[Spring TA Salary]]=0,"",Summary[[#This Row],[Spring TA Salary]]/TARate)</f>
        <v/>
      </c>
      <c r="F84" s="18">
        <f>SUMIF(Reader[Course Number &amp; Title],Summary[[#This Row],[Course]],Reader[Fall Salary])</f>
        <v>0</v>
      </c>
      <c r="G84" s="61">
        <f>SUMIF(Reader[Course Number &amp; Title],Summary[[#This Row],[Course]],Reader[Spring Salary])</f>
        <v>0</v>
      </c>
    </row>
    <row r="85" spans="1:7" x14ac:dyDescent="0.25">
      <c r="A85" s="58" t="str">
        <f>IFERROR(INDEX(Courses[Course Number &amp; Name],ROW()-10,1),"")</f>
        <v/>
      </c>
      <c r="B85" s="19">
        <f>SUMIF(TA[Course],Summary[[#This Row],[Course]],TA[Fall Salary])</f>
        <v>0</v>
      </c>
      <c r="C85" s="59">
        <f>SUMIF(TA[Course],Summary[[#This Row],[Course]],TA[Spring Salary])</f>
        <v>0</v>
      </c>
      <c r="D85" s="27" t="str">
        <f>IF(Summary[[#This Row],[Fall TA Salary]]=0,"",Summary[[#This Row],[Fall TA Salary]]/TARate)</f>
        <v/>
      </c>
      <c r="E85" s="60" t="str">
        <f>IF(Summary[[#This Row],[Spring TA Salary]]=0,"",Summary[[#This Row],[Spring TA Salary]]/TARate)</f>
        <v/>
      </c>
      <c r="F85" s="18">
        <f>SUMIF(Reader[Course Number &amp; Title],Summary[[#This Row],[Course]],Reader[Fall Salary])</f>
        <v>0</v>
      </c>
      <c r="G85" s="61">
        <f>SUMIF(Reader[Course Number &amp; Title],Summary[[#This Row],[Course]],Reader[Spring Salary])</f>
        <v>0</v>
      </c>
    </row>
    <row r="86" spans="1:7" x14ac:dyDescent="0.25">
      <c r="A86" s="58" t="str">
        <f>IFERROR(INDEX(Courses[Course Number &amp; Name],ROW()-10,1),"")</f>
        <v/>
      </c>
      <c r="B86" s="19">
        <f>SUMIF(TA[Course],Summary[[#This Row],[Course]],TA[Fall Salary])</f>
        <v>0</v>
      </c>
      <c r="C86" s="59">
        <f>SUMIF(TA[Course],Summary[[#This Row],[Course]],TA[Spring Salary])</f>
        <v>0</v>
      </c>
      <c r="D86" s="27" t="str">
        <f>IF(Summary[[#This Row],[Fall TA Salary]]=0,"",Summary[[#This Row],[Fall TA Salary]]/TARate)</f>
        <v/>
      </c>
      <c r="E86" s="60" t="str">
        <f>IF(Summary[[#This Row],[Spring TA Salary]]=0,"",Summary[[#This Row],[Spring TA Salary]]/TARate)</f>
        <v/>
      </c>
      <c r="F86" s="18">
        <f>SUMIF(Reader[Course Number &amp; Title],Summary[[#This Row],[Course]],Reader[Fall Salary])</f>
        <v>0</v>
      </c>
      <c r="G86" s="61">
        <f>SUMIF(Reader[Course Number &amp; Title],Summary[[#This Row],[Course]],Reader[Spring Salary])</f>
        <v>0</v>
      </c>
    </row>
    <row r="87" spans="1:7" x14ac:dyDescent="0.25">
      <c r="A87" s="58" t="str">
        <f>IFERROR(INDEX(Courses[Course Number &amp; Name],ROW()-10,1),"")</f>
        <v/>
      </c>
      <c r="B87" s="19">
        <f>SUMIF(TA[Course],Summary[[#This Row],[Course]],TA[Fall Salary])</f>
        <v>0</v>
      </c>
      <c r="C87" s="59">
        <f>SUMIF(TA[Course],Summary[[#This Row],[Course]],TA[Spring Salary])</f>
        <v>0</v>
      </c>
      <c r="D87" s="27" t="str">
        <f>IF(Summary[[#This Row],[Fall TA Salary]]=0,"",Summary[[#This Row],[Fall TA Salary]]/TARate)</f>
        <v/>
      </c>
      <c r="E87" s="60" t="str">
        <f>IF(Summary[[#This Row],[Spring TA Salary]]=0,"",Summary[[#This Row],[Spring TA Salary]]/TARate)</f>
        <v/>
      </c>
      <c r="F87" s="18">
        <f>SUMIF(Reader[Course Number &amp; Title],Summary[[#This Row],[Course]],Reader[Fall Salary])</f>
        <v>0</v>
      </c>
      <c r="G87" s="61">
        <f>SUMIF(Reader[Course Number &amp; Title],Summary[[#This Row],[Course]],Reader[Spring Salary])</f>
        <v>0</v>
      </c>
    </row>
    <row r="88" spans="1:7" x14ac:dyDescent="0.25">
      <c r="A88" s="58" t="str">
        <f>IFERROR(INDEX(Courses[Course Number &amp; Name],ROW()-10,1),"")</f>
        <v/>
      </c>
      <c r="B88" s="19">
        <f>SUMIF(TA[Course],Summary[[#This Row],[Course]],TA[Fall Salary])</f>
        <v>0</v>
      </c>
      <c r="C88" s="59">
        <f>SUMIF(TA[Course],Summary[[#This Row],[Course]],TA[Spring Salary])</f>
        <v>0</v>
      </c>
      <c r="D88" s="27" t="str">
        <f>IF(Summary[[#This Row],[Fall TA Salary]]=0,"",Summary[[#This Row],[Fall TA Salary]]/TARate)</f>
        <v/>
      </c>
      <c r="E88" s="60" t="str">
        <f>IF(Summary[[#This Row],[Spring TA Salary]]=0,"",Summary[[#This Row],[Spring TA Salary]]/TARate)</f>
        <v/>
      </c>
      <c r="F88" s="18">
        <f>SUMIF(Reader[Course Number &amp; Title],Summary[[#This Row],[Course]],Reader[Fall Salary])</f>
        <v>0</v>
      </c>
      <c r="G88" s="61">
        <f>SUMIF(Reader[Course Number &amp; Title],Summary[[#This Row],[Course]],Reader[Spring Salary])</f>
        <v>0</v>
      </c>
    </row>
    <row r="89" spans="1:7" x14ac:dyDescent="0.25">
      <c r="A89" s="58" t="str">
        <f>IFERROR(INDEX(Courses[Course Number &amp; Name],ROW()-10,1),"")</f>
        <v/>
      </c>
      <c r="B89" s="19">
        <f>SUMIF(TA[Course],Summary[[#This Row],[Course]],TA[Fall Salary])</f>
        <v>0</v>
      </c>
      <c r="C89" s="59">
        <f>SUMIF(TA[Course],Summary[[#This Row],[Course]],TA[Spring Salary])</f>
        <v>0</v>
      </c>
      <c r="D89" s="27" t="str">
        <f>IF(Summary[[#This Row],[Fall TA Salary]]=0,"",Summary[[#This Row],[Fall TA Salary]]/TARate)</f>
        <v/>
      </c>
      <c r="E89" s="60" t="str">
        <f>IF(Summary[[#This Row],[Spring TA Salary]]=0,"",Summary[[#This Row],[Spring TA Salary]]/TARate)</f>
        <v/>
      </c>
      <c r="F89" s="18">
        <f>SUMIF(Reader[Course Number &amp; Title],Summary[[#This Row],[Course]],Reader[Fall Salary])</f>
        <v>0</v>
      </c>
      <c r="G89" s="61">
        <f>SUMIF(Reader[Course Number &amp; Title],Summary[[#This Row],[Course]],Reader[Spring Salary])</f>
        <v>0</v>
      </c>
    </row>
    <row r="90" spans="1:7" x14ac:dyDescent="0.25">
      <c r="A90" s="58" t="str">
        <f>IFERROR(INDEX(Courses[Course Number &amp; Name],ROW()-10,1),"")</f>
        <v/>
      </c>
      <c r="B90" s="19">
        <f>SUMIF(TA[Course],Summary[[#This Row],[Course]],TA[Fall Salary])</f>
        <v>0</v>
      </c>
      <c r="C90" s="59">
        <f>SUMIF(TA[Course],Summary[[#This Row],[Course]],TA[Spring Salary])</f>
        <v>0</v>
      </c>
      <c r="D90" s="27" t="str">
        <f>IF(Summary[[#This Row],[Fall TA Salary]]=0,"",Summary[[#This Row],[Fall TA Salary]]/TARate)</f>
        <v/>
      </c>
      <c r="E90" s="60" t="str">
        <f>IF(Summary[[#This Row],[Spring TA Salary]]=0,"",Summary[[#This Row],[Spring TA Salary]]/TARate)</f>
        <v/>
      </c>
      <c r="F90" s="18">
        <f>SUMIF(Reader[Course Number &amp; Title],Summary[[#This Row],[Course]],Reader[Fall Salary])</f>
        <v>0</v>
      </c>
      <c r="G90" s="61">
        <f>SUMIF(Reader[Course Number &amp; Title],Summary[[#This Row],[Course]],Reader[Spring Salary])</f>
        <v>0</v>
      </c>
    </row>
    <row r="91" spans="1:7" x14ac:dyDescent="0.25">
      <c r="A91" s="58" t="str">
        <f>IFERROR(INDEX(Courses[Course Number &amp; Name],ROW()-10,1),"")</f>
        <v/>
      </c>
      <c r="B91" s="19">
        <f>SUMIF(TA[Course],Summary[[#This Row],[Course]],TA[Fall Salary])</f>
        <v>0</v>
      </c>
      <c r="C91" s="59">
        <f>SUMIF(TA[Course],Summary[[#This Row],[Course]],TA[Spring Salary])</f>
        <v>0</v>
      </c>
      <c r="D91" s="27" t="str">
        <f>IF(Summary[[#This Row],[Fall TA Salary]]=0,"",Summary[[#This Row],[Fall TA Salary]]/TARate)</f>
        <v/>
      </c>
      <c r="E91" s="60" t="str">
        <f>IF(Summary[[#This Row],[Spring TA Salary]]=0,"",Summary[[#This Row],[Spring TA Salary]]/TARate)</f>
        <v/>
      </c>
      <c r="F91" s="18">
        <f>SUMIF(Reader[Course Number &amp; Title],Summary[[#This Row],[Course]],Reader[Fall Salary])</f>
        <v>0</v>
      </c>
      <c r="G91" s="61">
        <f>SUMIF(Reader[Course Number &amp; Title],Summary[[#This Row],[Course]],Reader[Spring Salary])</f>
        <v>0</v>
      </c>
    </row>
    <row r="92" spans="1:7" x14ac:dyDescent="0.25">
      <c r="A92" s="58" t="str">
        <f>IFERROR(INDEX(Courses[Course Number &amp; Name],ROW()-10,1),"")</f>
        <v/>
      </c>
      <c r="B92" s="19">
        <f>SUMIF(TA[Course],Summary[[#This Row],[Course]],TA[Fall Salary])</f>
        <v>0</v>
      </c>
      <c r="C92" s="59">
        <f>SUMIF(TA[Course],Summary[[#This Row],[Course]],TA[Spring Salary])</f>
        <v>0</v>
      </c>
      <c r="D92" s="27" t="str">
        <f>IF(Summary[[#This Row],[Fall TA Salary]]=0,"",Summary[[#This Row],[Fall TA Salary]]/TARate)</f>
        <v/>
      </c>
      <c r="E92" s="60" t="str">
        <f>IF(Summary[[#This Row],[Spring TA Salary]]=0,"",Summary[[#This Row],[Spring TA Salary]]/TARate)</f>
        <v/>
      </c>
      <c r="F92" s="18">
        <f>SUMIF(Reader[Course Number &amp; Title],Summary[[#This Row],[Course]],Reader[Fall Salary])</f>
        <v>0</v>
      </c>
      <c r="G92" s="61">
        <f>SUMIF(Reader[Course Number &amp; Title],Summary[[#This Row],[Course]],Reader[Spring Salary])</f>
        <v>0</v>
      </c>
    </row>
    <row r="93" spans="1:7" x14ac:dyDescent="0.25">
      <c r="A93" s="25"/>
      <c r="B93" s="16">
        <f>SUBTOTAL(109,Summary[Fall TA Salary])</f>
        <v>10611.641025641014</v>
      </c>
      <c r="C93" s="16">
        <f>SUBTOTAL(109,Summary[Spring TA Salary])</f>
        <v>0</v>
      </c>
      <c r="D93" s="30">
        <f>SUBTOTAL(109,Summary[Fall TA FTE])</f>
        <v>0.251282051282051</v>
      </c>
      <c r="E93" s="30">
        <f>SUBTOTAL(109,Summary[Spring TA FTE])</f>
        <v>0</v>
      </c>
      <c r="F93" s="16">
        <f>SUBTOTAL(109,Summary[Fall Reader Salary])</f>
        <v>0</v>
      </c>
      <c r="G93" s="16">
        <f>SUBTOTAL(109,Summary[Spring Reader Salary])</f>
        <v>0</v>
      </c>
    </row>
  </sheetData>
  <sheetProtection selectLockedCells="1" selectUnlockedCells="1"/>
  <conditionalFormatting sqref="A11:G93">
    <cfRule type="containsBlanks" dxfId="19" priority="9">
      <formula>LEN(TRIM(A11))=0</formula>
    </cfRule>
  </conditionalFormatting>
  <conditionalFormatting sqref="D5">
    <cfRule type="containsBlanks" dxfId="18" priority="3">
      <formula>LEN(TRIM(D5))=0</formula>
    </cfRule>
  </conditionalFormatting>
  <conditionalFormatting sqref="B5:B6">
    <cfRule type="containsBlanks" dxfId="17" priority="2">
      <formula>LEN(TRIM(B5))=0</formula>
    </cfRule>
  </conditionalFormatting>
  <conditionalFormatting sqref="C5:C6">
    <cfRule type="containsBlanks" dxfId="16" priority="1">
      <formula>LEN(TRIM(C5))=0</formula>
    </cfRule>
  </conditionalFormatting>
  <pageMargins left="0.25" right="0.25" top="0.75" bottom="0.75" header="0.3" footer="0.3"/>
  <pageSetup fitToHeight="0" orientation="landscape" r:id="rId1"/>
  <headerFooter>
    <oddFooter>&amp;L&amp;D&amp;R&amp;Z&amp;F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74A28-77AC-4FF3-8D11-E1B97A7F76EA}">
  <sheetPr>
    <pageSetUpPr fitToPage="1"/>
  </sheetPr>
  <dimension ref="A1:C6"/>
  <sheetViews>
    <sheetView showGridLines="0" showRowColHeaders="0" zoomScaleNormal="100" workbookViewId="0">
      <selection activeCell="B5" sqref="B5"/>
    </sheetView>
  </sheetViews>
  <sheetFormatPr defaultRowHeight="15" x14ac:dyDescent="0.25"/>
  <cols>
    <col min="1" max="1" width="16" bestFit="1" customWidth="1"/>
    <col min="2" max="2" width="15.5703125" customWidth="1"/>
    <col min="3" max="3" width="42.5703125" customWidth="1"/>
  </cols>
  <sheetData>
    <row r="1" spans="1:3" ht="19.5" x14ac:dyDescent="0.3">
      <c r="A1" s="5" t="s">
        <v>55</v>
      </c>
    </row>
    <row r="2" spans="1:3" ht="58.5" customHeight="1" x14ac:dyDescent="0.3">
      <c r="A2" s="5"/>
    </row>
    <row r="3" spans="1:3" x14ac:dyDescent="0.25">
      <c r="A3" s="2" t="s">
        <v>56</v>
      </c>
      <c r="B3" s="2" t="s">
        <v>57</v>
      </c>
      <c r="C3" s="2" t="s">
        <v>58</v>
      </c>
    </row>
    <row r="4" spans="1:3" x14ac:dyDescent="0.25">
      <c r="A4" s="2" t="s">
        <v>59</v>
      </c>
      <c r="B4" s="33">
        <v>0.502564102564102</v>
      </c>
      <c r="C4" s="2" t="s">
        <v>60</v>
      </c>
    </row>
    <row r="5" spans="1:3" x14ac:dyDescent="0.25">
      <c r="A5" s="2" t="s">
        <v>61</v>
      </c>
      <c r="B5" s="33">
        <v>0.497435897435897</v>
      </c>
      <c r="C5" s="2" t="s">
        <v>62</v>
      </c>
    </row>
    <row r="6" spans="1:3" x14ac:dyDescent="0.25">
      <c r="A6" s="2" t="s">
        <v>63</v>
      </c>
      <c r="B6" s="2">
        <v>1</v>
      </c>
      <c r="C6" s="2" t="s">
        <v>64</v>
      </c>
    </row>
  </sheetData>
  <sheetProtection selectLockedCells="1" selectUnlockedCells="1"/>
  <pageMargins left="0.25" right="0.25" top="0.75" bottom="0.75" header="0.3" footer="0.3"/>
  <pageSetup fitToHeight="0" orientation="landscape" r:id="rId1"/>
  <headerFooter>
    <oddFooter>&amp;L&amp;D&amp;R&amp;Z&amp;F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s="1" t="s">
        <v>10</v>
      </c>
    </row>
    <row r="2" spans="1:1" x14ac:dyDescent="0.25">
      <c r="A2" s="1" t="s">
        <v>11</v>
      </c>
    </row>
    <row r="3" spans="1:1" x14ac:dyDescent="0.25">
      <c r="A3" s="1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FA38799724344AEB4ADE5C53C151E" ma:contentTypeVersion="2" ma:contentTypeDescription="Create a new document." ma:contentTypeScope="" ma:versionID="a2d0f09b6a0438a74d7503f14afc8ec4">
  <xsd:schema xmlns:xsd="http://www.w3.org/2001/XMLSchema" xmlns:xs="http://www.w3.org/2001/XMLSchema" xmlns:p="http://schemas.microsoft.com/office/2006/metadata/properties" xmlns:ns2="ca0baa88-809e-486d-807b-0445cb0881e5" targetNamespace="http://schemas.microsoft.com/office/2006/metadata/properties" ma:root="true" ma:fieldsID="7eaade91621feeeb970db8932128f5e7" ns2:_="">
    <xsd:import namespace="ca0baa88-809e-486d-807b-0445cb088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aa88-809e-486d-807b-0445cb088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FE790B-9589-45E5-82EC-5ADDC72160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A9C9C-8484-4286-A26F-D2B1747A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aa88-809e-486d-807b-0445cb088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3D702E-5682-4E1D-9175-50CFD5F0666D}">
  <ds:schemaRefs>
    <ds:schemaRef ds:uri="http://schemas.microsoft.com/office/2006/metadata/properties"/>
    <ds:schemaRef ds:uri="http://schemas.microsoft.com/office/2006/documentManagement/types"/>
    <ds:schemaRef ds:uri="ca0baa88-809e-486d-807b-0445cb0881e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Courses</vt:lpstr>
      <vt:lpstr>2. Appointments</vt:lpstr>
      <vt:lpstr>3. Notes</vt:lpstr>
      <vt:lpstr>4. Summary</vt:lpstr>
      <vt:lpstr>5. Calculations</vt:lpstr>
      <vt:lpstr>DeptName</vt:lpstr>
      <vt:lpstr>'1. Courses'!Print_Area</vt:lpstr>
      <vt:lpstr>'2. Appointments'!Print_Area</vt:lpstr>
      <vt:lpstr>'3. Notes'!Print_Area</vt:lpstr>
      <vt:lpstr>TARate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Mahr</dc:creator>
  <cp:keywords/>
  <dc:description/>
  <cp:lastModifiedBy>Amanda Mahr</cp:lastModifiedBy>
  <cp:revision/>
  <cp:lastPrinted>2021-12-08T19:06:50Z</cp:lastPrinted>
  <dcterms:created xsi:type="dcterms:W3CDTF">2018-05-10T19:23:57Z</dcterms:created>
  <dcterms:modified xsi:type="dcterms:W3CDTF">2022-02-03T20:34:45Z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0x0101004C5FA38799724344AEB4ADE5C53C151E</vt:lpwstr>
  </property>
</Properties>
</file>