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lund\Desktop\"/>
    </mc:Choice>
  </mc:AlternateContent>
  <bookViews>
    <workbookView xWindow="0" yWindow="0" windowWidth="19200" windowHeight="11460"/>
  </bookViews>
  <sheets>
    <sheet name="1. Dept Details" sheetId="9" r:id="rId1"/>
    <sheet name="2. TAs &amp; Readers" sheetId="8" r:id="rId2"/>
    <sheet name="3. Notes" sheetId="5" r:id="rId3"/>
    <sheet name="4. Summary - Course" sheetId="10" r:id="rId4"/>
    <sheet name="5. Summary - Funding" sheetId="12" r:id="rId5"/>
    <sheet name="6. Calculations" sheetId="11" r:id="rId6"/>
    <sheet name="_56F9DC9755BA473782653E2940F9" sheetId="2" state="veryHidden" r:id="rId7"/>
  </sheets>
  <definedNames>
    <definedName name="DeptName">'1. Dept Details'!$B$3</definedName>
    <definedName name="DropCourse">OFFSET(Courses[[#Headers],[DropdownCourse]],1,0,MATCH("zzzzz",Courses[DropdownCourse],1),1)</definedName>
    <definedName name="Dropdown">OFFSET(Courses[[#Headers],[Subject]],1,0,MATCH("zzzzz",Courses[Subject],1),1)</definedName>
    <definedName name="DropFund">Funding[Fund Name]</definedName>
    <definedName name="_xlnm.Print_Area" localSheetId="2">'3. Notes'!$A$1:$B$5</definedName>
    <definedName name="TARate">'2. TAs &amp; Readers'!$B$3</definedName>
  </definedNames>
  <calcPr calcId="162913"/>
</workbook>
</file>

<file path=xl/calcChain.xml><?xml version="1.0" encoding="utf-8"?>
<calcChain xmlns="http://schemas.openxmlformats.org/spreadsheetml/2006/main">
  <c r="K8" i="9" l="1"/>
  <c r="J8" i="9" s="1"/>
  <c r="K9" i="9"/>
  <c r="K10" i="9"/>
  <c r="K11" i="9"/>
  <c r="K12" i="9"/>
  <c r="J12" i="9" s="1"/>
  <c r="K13" i="9"/>
  <c r="K14" i="9"/>
  <c r="J11" i="9" l="1"/>
  <c r="J14" i="9"/>
  <c r="J10" i="9"/>
  <c r="J13" i="9"/>
  <c r="J9" i="9"/>
  <c r="I8" i="8"/>
  <c r="I12" i="8"/>
  <c r="I16" i="8"/>
  <c r="I9" i="8"/>
  <c r="I13" i="8"/>
  <c r="I17" i="8"/>
  <c r="I10" i="8"/>
  <c r="I14" i="8"/>
  <c r="I11" i="8"/>
  <c r="I15" i="8"/>
  <c r="A2" i="12"/>
  <c r="A2" i="10"/>
  <c r="A11" i="10"/>
  <c r="A12" i="10"/>
  <c r="A13" i="10"/>
  <c r="A14" i="10"/>
  <c r="A15" i="10"/>
  <c r="A16" i="10"/>
  <c r="A17" i="10"/>
  <c r="A18" i="10"/>
  <c r="A19" i="10"/>
  <c r="A20" i="10"/>
  <c r="A21" i="10"/>
  <c r="A22" i="10"/>
  <c r="A23" i="10"/>
  <c r="A24" i="10"/>
  <c r="A25" i="10"/>
  <c r="A26" i="10"/>
  <c r="A27" i="10"/>
  <c r="A28" i="10"/>
  <c r="A29" i="10"/>
  <c r="A30" i="10"/>
  <c r="A31" i="10"/>
  <c r="A32" i="10"/>
  <c r="A33" i="10"/>
  <c r="A4" i="10"/>
  <c r="A5" i="10"/>
  <c r="A6" i="10"/>
  <c r="A7" i="10"/>
  <c r="A8" i="10"/>
  <c r="A9" i="10"/>
  <c r="A10" i="10"/>
  <c r="B22" i="8"/>
  <c r="G8" i="8"/>
  <c r="G9" i="8"/>
  <c r="G10" i="8"/>
  <c r="G11" i="8"/>
  <c r="G12" i="8"/>
  <c r="G13" i="8"/>
  <c r="G14" i="8"/>
  <c r="G15" i="8"/>
  <c r="G16" i="8"/>
  <c r="G17" i="8"/>
  <c r="A15" i="9" l="1"/>
  <c r="I18" i="8"/>
  <c r="F1" i="8" s="1"/>
  <c r="E21" i="8"/>
  <c r="H10" i="8"/>
  <c r="H8" i="8"/>
  <c r="H9" i="8"/>
  <c r="H11" i="8"/>
  <c r="H12" i="8"/>
  <c r="H13" i="8"/>
  <c r="H14" i="8"/>
  <c r="H15" i="8"/>
  <c r="H16" i="8"/>
  <c r="H17" i="8"/>
  <c r="H18" i="8" l="1"/>
  <c r="B18" i="8" l="1"/>
  <c r="A4" i="12" l="1"/>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B27" i="12" l="1"/>
  <c r="D27" i="12"/>
  <c r="B15" i="12"/>
  <c r="C15" i="12" s="1"/>
  <c r="D15" i="12"/>
  <c r="B30" i="12"/>
  <c r="C30" i="12" s="1"/>
  <c r="D30" i="12"/>
  <c r="B26" i="12"/>
  <c r="C26" i="12" s="1"/>
  <c r="D26" i="12"/>
  <c r="B22" i="12"/>
  <c r="D22" i="12"/>
  <c r="B18" i="12"/>
  <c r="C18" i="12" s="1"/>
  <c r="D18" i="12"/>
  <c r="B14" i="12"/>
  <c r="C14" i="12" s="1"/>
  <c r="D14" i="12"/>
  <c r="B10" i="12"/>
  <c r="C10" i="12" s="1"/>
  <c r="D10" i="12"/>
  <c r="B6" i="12"/>
  <c r="C6" i="12" s="1"/>
  <c r="D6" i="12"/>
  <c r="B31" i="12"/>
  <c r="C31" i="12" s="1"/>
  <c r="D31" i="12"/>
  <c r="B19" i="12"/>
  <c r="C19" i="12" s="1"/>
  <c r="D19" i="12"/>
  <c r="B11" i="12"/>
  <c r="C11" i="12" s="1"/>
  <c r="D11" i="12"/>
  <c r="D33" i="12"/>
  <c r="B33" i="12"/>
  <c r="C33" i="12" s="1"/>
  <c r="D29" i="12"/>
  <c r="B29" i="12"/>
  <c r="C29" i="12" s="1"/>
  <c r="D25" i="12"/>
  <c r="B25" i="12"/>
  <c r="C25" i="12" s="1"/>
  <c r="D21" i="12"/>
  <c r="B21" i="12"/>
  <c r="C21" i="12" s="1"/>
  <c r="D17" i="12"/>
  <c r="B17" i="12"/>
  <c r="C17" i="12" s="1"/>
  <c r="D13" i="12"/>
  <c r="B13" i="12"/>
  <c r="C13" i="12" s="1"/>
  <c r="D9" i="12"/>
  <c r="B9" i="12"/>
  <c r="C9" i="12" s="1"/>
  <c r="D5" i="12"/>
  <c r="B5" i="12"/>
  <c r="C5" i="12" s="1"/>
  <c r="B23" i="12"/>
  <c r="C23" i="12" s="1"/>
  <c r="D23" i="12"/>
  <c r="B7" i="12"/>
  <c r="C7" i="12" s="1"/>
  <c r="D7" i="12"/>
  <c r="D32" i="12"/>
  <c r="B32" i="12"/>
  <c r="C32" i="12" s="1"/>
  <c r="D28" i="12"/>
  <c r="B28" i="12"/>
  <c r="C28" i="12" s="1"/>
  <c r="D24" i="12"/>
  <c r="B24" i="12"/>
  <c r="C24" i="12" s="1"/>
  <c r="D20" i="12"/>
  <c r="B20" i="12"/>
  <c r="C20" i="12" s="1"/>
  <c r="D16" i="12"/>
  <c r="B16" i="12"/>
  <c r="C16" i="12" s="1"/>
  <c r="D12" i="12"/>
  <c r="B12" i="12"/>
  <c r="C12" i="12" s="1"/>
  <c r="D8" i="12"/>
  <c r="B8" i="12"/>
  <c r="C8" i="12" s="1"/>
  <c r="D4" i="12"/>
  <c r="B4" i="12"/>
  <c r="C4" i="12" s="1"/>
  <c r="C27" i="12"/>
  <c r="C22" i="12"/>
  <c r="E4" i="12" l="1"/>
  <c r="C34" i="12"/>
  <c r="E9" i="12" l="1"/>
  <c r="E7" i="12"/>
  <c r="E8" i="12"/>
  <c r="E10" i="12"/>
  <c r="E6" i="12"/>
  <c r="A2" i="5" l="1"/>
  <c r="A2" i="8"/>
  <c r="B33" i="10" l="1"/>
  <c r="C33" i="10" s="1"/>
  <c r="E5" i="12" l="1"/>
  <c r="B34" i="12"/>
  <c r="D12" i="10" l="1"/>
  <c r="B12" i="10"/>
  <c r="C12" i="10" s="1"/>
  <c r="B9" i="10"/>
  <c r="C9" i="10" s="1"/>
  <c r="D9" i="10"/>
  <c r="B5" i="10"/>
  <c r="C5" i="10" s="1"/>
  <c r="B15" i="10"/>
  <c r="C15" i="10" s="1"/>
  <c r="B19" i="10"/>
  <c r="C19" i="10" s="1"/>
  <c r="B23" i="10"/>
  <c r="C23" i="10" s="1"/>
  <c r="B27" i="10"/>
  <c r="C27" i="10" s="1"/>
  <c r="B31" i="10"/>
  <c r="C31" i="10" s="1"/>
  <c r="D8" i="10"/>
  <c r="B8" i="10"/>
  <c r="C8" i="10" s="1"/>
  <c r="D4" i="10"/>
  <c r="B4" i="10"/>
  <c r="C4" i="10" s="1"/>
  <c r="B16" i="10"/>
  <c r="C16" i="10" s="1"/>
  <c r="B20" i="10"/>
  <c r="C20" i="10" s="1"/>
  <c r="B24" i="10"/>
  <c r="C24" i="10" s="1"/>
  <c r="B28" i="10"/>
  <c r="C28" i="10" s="1"/>
  <c r="B32" i="10"/>
  <c r="C32" i="10" s="1"/>
  <c r="B11" i="10"/>
  <c r="C11" i="10" s="1"/>
  <c r="D11" i="10"/>
  <c r="B7" i="10"/>
  <c r="C7" i="10" s="1"/>
  <c r="D7" i="10"/>
  <c r="B13" i="10"/>
  <c r="C13" i="10" s="1"/>
  <c r="D13" i="10"/>
  <c r="B17" i="10"/>
  <c r="C17" i="10" s="1"/>
  <c r="B21" i="10"/>
  <c r="C21" i="10" s="1"/>
  <c r="B25" i="10"/>
  <c r="C25" i="10" s="1"/>
  <c r="B29" i="10"/>
  <c r="C29" i="10" s="1"/>
  <c r="B10" i="10"/>
  <c r="C10" i="10" s="1"/>
  <c r="D10" i="10"/>
  <c r="B6" i="10"/>
  <c r="C6" i="10" s="1"/>
  <c r="B14" i="10"/>
  <c r="C14" i="10" s="1"/>
  <c r="B18" i="10"/>
  <c r="C18" i="10" s="1"/>
  <c r="B22" i="10"/>
  <c r="C22" i="10" s="1"/>
  <c r="B26" i="10"/>
  <c r="C26" i="10" s="1"/>
  <c r="B30" i="10"/>
  <c r="C30" i="10" s="1"/>
  <c r="C34" i="10" l="1"/>
  <c r="E4" i="10"/>
  <c r="E12" i="10"/>
  <c r="E13" i="10"/>
  <c r="E11" i="10"/>
  <c r="E8" i="10"/>
  <c r="E7" i="10"/>
  <c r="E9" i="10"/>
  <c r="E10" i="10"/>
  <c r="B34" i="10"/>
  <c r="D15" i="10" l="1"/>
  <c r="E15" i="10" s="1"/>
  <c r="D17" i="10"/>
  <c r="E17" i="10" s="1"/>
  <c r="D20" i="10"/>
  <c r="E20" i="10" s="1"/>
  <c r="D18" i="10"/>
  <c r="E18" i="10" s="1"/>
  <c r="D23" i="10"/>
  <c r="E23" i="10" s="1"/>
  <c r="D21" i="10"/>
  <c r="E21" i="10" s="1"/>
  <c r="D19" i="10"/>
  <c r="E19" i="10" s="1"/>
  <c r="D22" i="10"/>
  <c r="E22" i="10" s="1"/>
  <c r="D16" i="10"/>
  <c r="E16" i="10" s="1"/>
  <c r="D14" i="10"/>
  <c r="E14" i="10" s="1"/>
  <c r="E33" i="12"/>
  <c r="E17" i="12"/>
  <c r="E20" i="12"/>
  <c r="E27" i="12"/>
  <c r="E11" i="12"/>
  <c r="E29" i="12"/>
  <c r="E32" i="12"/>
  <c r="E16" i="12"/>
  <c r="E23" i="12"/>
  <c r="E30" i="12"/>
  <c r="E14" i="12"/>
  <c r="E25" i="12"/>
  <c r="E28" i="12"/>
  <c r="E13" i="12"/>
  <c r="E19" i="12"/>
  <c r="E26" i="12"/>
  <c r="E21" i="12"/>
  <c r="E24" i="12"/>
  <c r="E12" i="12"/>
  <c r="E31" i="12"/>
  <c r="E15" i="12"/>
  <c r="E22" i="12"/>
  <c r="E18" i="12"/>
  <c r="D6" i="10"/>
  <c r="E6" i="10" s="1"/>
  <c r="D5" i="10"/>
  <c r="E5" i="10" s="1"/>
  <c r="D33" i="10"/>
  <c r="E33" i="10" s="1"/>
  <c r="D24" i="10"/>
  <c r="E24" i="10" s="1"/>
  <c r="D26" i="10"/>
  <c r="E26" i="10" s="1"/>
  <c r="D25" i="10"/>
  <c r="E25" i="10" s="1"/>
  <c r="D30" i="10"/>
  <c r="E30" i="10" s="1"/>
  <c r="D32" i="10"/>
  <c r="E32" i="10" s="1"/>
  <c r="D31" i="10"/>
  <c r="E31" i="10" s="1"/>
  <c r="D27" i="10"/>
  <c r="E27" i="10" s="1"/>
  <c r="D28" i="10"/>
  <c r="E28" i="10" s="1"/>
  <c r="D29" i="10"/>
  <c r="E29" i="10" s="1"/>
  <c r="D34" i="12" l="1"/>
  <c r="E34" i="10"/>
  <c r="D34" i="10"/>
  <c r="G18" i="8"/>
  <c r="E22" i="8"/>
  <c r="E34" i="12" l="1"/>
</calcChain>
</file>

<file path=xl/sharedStrings.xml><?xml version="1.0" encoding="utf-8"?>
<sst xmlns="http://schemas.openxmlformats.org/spreadsheetml/2006/main" count="159" uniqueCount="96">
  <si>
    <t>Department</t>
  </si>
  <si>
    <t>Timeframe</t>
  </si>
  <si>
    <t>Date prepared</t>
  </si>
  <si>
    <t>Prepared by</t>
  </si>
  <si>
    <t>Courses</t>
  </si>
  <si>
    <t>Credit Range</t>
  </si>
  <si>
    <t>Funding</t>
  </si>
  <si>
    <t>Fund Name</t>
  </si>
  <si>
    <t>Funding String</t>
  </si>
  <si>
    <t>Course Number &amp; Title</t>
  </si>
  <si>
    <t>Appt %</t>
  </si>
  <si>
    <t>Est. Salary</t>
  </si>
  <si>
    <t>Sem 1</t>
  </si>
  <si>
    <t>Sem 2</t>
  </si>
  <si>
    <t>Calculations</t>
  </si>
  <si>
    <t>Salary Calc</t>
  </si>
  <si>
    <t>Calculation</t>
  </si>
  <si>
    <t>Notes</t>
  </si>
  <si>
    <t>Base rate /2 * Appt %</t>
  </si>
  <si>
    <t># of TA's</t>
  </si>
  <si>
    <t>Appt Structure</t>
  </si>
  <si>
    <t>Hours</t>
  </si>
  <si>
    <t>IYOmLNoOCEmIskJKjLSw-W8n23zFD-FCvQdwxMIS3c1UQjNRR1kzWFhRQ0FBSzhJTFNMRkVPOUtKVSQlQCN0PWcu</t>
  </si>
  <si>
    <t>Form1</t>
  </si>
  <si>
    <t>{0e1b6e06-43b1-48b6-acc1-802bcf166a7d}</t>
  </si>
  <si>
    <t>Department Details</t>
  </si>
  <si>
    <t>TA Estimate</t>
  </si>
  <si>
    <t>Reader Estimate</t>
  </si>
  <si>
    <t>Total Estimate</t>
  </si>
  <si>
    <t>Summer Revenue</t>
  </si>
  <si>
    <t>3</t>
  </si>
  <si>
    <t>2</t>
  </si>
  <si>
    <t>6 disc per TA</t>
  </si>
  <si>
    <t>1 lab per TA</t>
  </si>
  <si>
    <t>Department TA Rate</t>
  </si>
  <si>
    <t>Course</t>
  </si>
  <si>
    <t>Jurassic Studies</t>
  </si>
  <si>
    <t>Bucky Badger</t>
  </si>
  <si>
    <t>101-2 A48##71</t>
  </si>
  <si>
    <t>131-2 A48##07</t>
  </si>
  <si>
    <t>Given that this is a high enrollment course and required for the fast growing Jurassic Studies majors and, not having another faculty member to teach it, we hope that this request be funded. For these reasons, this is our first priority STS request.</t>
  </si>
  <si>
    <t>Teaching Assistant Plans</t>
  </si>
  <si>
    <t>Reader/Grader Plans</t>
  </si>
  <si>
    <t>2 lab, head TA</t>
  </si>
  <si>
    <t>2 labs/37.5% TA</t>
  </si>
  <si>
    <t>3 labs.per 50% TA</t>
  </si>
  <si>
    <t>The 'Course Number &amp; Title' and 'Funding' fields are populated by the 'Dept Details' page. Please complete/update that page before adding TA or Reader plans below.</t>
  </si>
  <si>
    <t>Est. Salary ($21.57/hr)</t>
  </si>
  <si>
    <t>TA 101 Budget</t>
  </si>
  <si>
    <t>655</t>
  </si>
  <si>
    <t>750</t>
  </si>
  <si>
    <t>150</t>
  </si>
  <si>
    <t>72</t>
  </si>
  <si>
    <t>270</t>
  </si>
  <si>
    <t>70</t>
  </si>
  <si>
    <t>TA &amp; Reader Plans, 2020-21 Academic Year</t>
  </si>
  <si>
    <t>Proposal Notes - TA &amp; Reader Plans, 2020-21 Academic Year</t>
  </si>
  <si>
    <t>Summary by Course - TA &amp; Reader Plans, 2020-21 Academic Year</t>
  </si>
  <si>
    <t>Summary by Funding - TA &amp; Reader Plans, 2020-21 Academic Year</t>
  </si>
  <si>
    <t>FTE</t>
  </si>
  <si>
    <t>TA FTE</t>
  </si>
  <si>
    <t>Planned Capacity - Fall '20</t>
  </si>
  <si>
    <t>Planned Capacity - Spring '21</t>
  </si>
  <si>
    <t>Enrollment Fall '19</t>
  </si>
  <si>
    <t>Enrollment Spring '20</t>
  </si>
  <si>
    <t>Information to include: Enrollment expansion, changes from previous years, new TA positions</t>
  </si>
  <si>
    <t>Duplicate</t>
  </si>
  <si>
    <t>Instruction Mode</t>
  </si>
  <si>
    <t>Classroom</t>
  </si>
  <si>
    <t>DropdownCourse</t>
  </si>
  <si>
    <t>Subject</t>
  </si>
  <si>
    <t>Cat #</t>
  </si>
  <si>
    <t>Course Title</t>
  </si>
  <si>
    <t>101</t>
  </si>
  <si>
    <t>102</t>
  </si>
  <si>
    <t>315</t>
  </si>
  <si>
    <t>316</t>
  </si>
  <si>
    <t>350</t>
  </si>
  <si>
    <t>360</t>
  </si>
  <si>
    <t>410</t>
  </si>
  <si>
    <t>Biology</t>
  </si>
  <si>
    <t>Biology Lab</t>
  </si>
  <si>
    <t>Aquatic Resources</t>
  </si>
  <si>
    <t>Aquatic Lab</t>
  </si>
  <si>
    <t>Raptors</t>
  </si>
  <si>
    <t>Topics in Jurassic Studies</t>
  </si>
  <si>
    <t>Intermediate Extinction</t>
  </si>
  <si>
    <t>Funding - add rows or modify as needed</t>
  </si>
  <si>
    <t>Jurassic Studies 101, Biology</t>
  </si>
  <si>
    <t>Jurassic Studies 102, Biology Lab</t>
  </si>
  <si>
    <t>Jurassic Studies 350, Raptors</t>
  </si>
  <si>
    <t>Jurassic Studies 315, Aquatic Resources</t>
  </si>
  <si>
    <t>Jurassic Studies 316, Aquatic Lab</t>
  </si>
  <si>
    <t>Jurassic Studies 360, Topics in Jurassic Studies</t>
  </si>
  <si>
    <t>Jurassic Studies 410, Intermediate Extinction</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</si>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</sst>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_(&quot;$&quot;* #,##0_);_(&quot;$&quot;* \(#,##0\);_(&quot;$&quot;* &quot;-&quot;??_);_(@_)"/>
    <numFmt numFmtId="166" formatCode="0.000"/>
    <numFmt numFmtId="167"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0"/>
      <color theme="1"/>
      <name val="Calibri"/>
      <family val="2"/>
      <scheme val="minor"/>
    </font>
    <font>
      <b/>
      <sz val="18"/>
      <color theme="3"/>
      <name val="Calibri"/>
      <family val="2"/>
      <scheme val="minor"/>
    </font>
    <font>
      <sz val="10"/>
      <color theme="1"/>
      <name val="Calibri"/>
      <family val="2"/>
      <scheme val="minor"/>
    </font>
    <font>
      <i/>
      <sz val="11"/>
      <color rgb="FF7F7F7F"/>
      <name val="Calibri"/>
      <family val="2"/>
      <scheme val="minor"/>
    </font>
    <font>
      <sz val="10"/>
      <color rgb="FF000000"/>
      <name val="Calibri"/>
      <family val="2"/>
    </font>
    <font>
      <b/>
      <sz val="14"/>
      <color theme="3"/>
      <name val="Calibri"/>
      <family val="2"/>
      <scheme val="minor"/>
    </font>
    <font>
      <b/>
      <sz val="20"/>
      <color theme="3"/>
      <name val="Calibri"/>
      <family val="2"/>
      <scheme val="minor"/>
    </font>
    <font>
      <b/>
      <sz val="10"/>
      <color theme="1"/>
      <name val="Calibri"/>
      <family val="2"/>
      <scheme val="minor"/>
    </font>
    <font>
      <sz val="10"/>
      <color theme="0"/>
      <name val="Calibri"/>
      <family val="2"/>
      <scheme val="minor"/>
    </font>
    <font>
      <sz val="10"/>
      <name val="Calibri"/>
      <family val="2"/>
      <scheme val="minor"/>
    </font>
    <font>
      <sz val="10"/>
      <name val="Calibri"/>
      <family val="2"/>
      <scheme val="minor"/>
    </font>
    <font>
      <b/>
      <sz val="16"/>
      <color theme="3"/>
      <name val="Calibri"/>
      <family val="2"/>
      <scheme val="minor"/>
    </font>
    <font>
      <sz val="10"/>
      <color rgb="FF000000"/>
      <name val="Calibri"/>
      <family val="2"/>
    </font>
    <font>
      <sz val="10"/>
      <name val="Calibri"/>
      <family val="2"/>
      <scheme val="minor"/>
    </font>
    <font>
      <sz val="9"/>
      <color theme="1"/>
      <name val="Calibri"/>
      <family val="2"/>
      <scheme val="minor"/>
    </font>
    <font>
      <i/>
      <sz val="10"/>
      <name val="Calibri"/>
      <family val="2"/>
      <scheme val="minor"/>
    </font>
    <font>
      <i/>
      <sz val="11"/>
      <name val="Calibri"/>
      <family val="2"/>
      <scheme val="minor"/>
    </font>
    <font>
      <sz val="10"/>
      <color rgb="FF000000"/>
      <name val="Calibri"/>
      <family val="2"/>
      <scheme val="minor"/>
    </font>
    <font>
      <sz val="10"/>
      <color theme="1"/>
      <name val="Calibri"/>
      <family val="2"/>
      <scheme val="minor"/>
    </font>
    <font>
      <sz val="10"/>
      <color rgb="FF000000"/>
      <name val="Calibri"/>
      <family val="2"/>
      <scheme val="minor"/>
    </font>
    <font>
      <i/>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7" fillId="0" borderId="0" applyNumberFormat="0" applyFill="0" applyBorder="0" applyAlignment="0" applyProtection="0"/>
  </cellStyleXfs>
  <cellXfs count="71">
    <xf numFmtId="0" fontId="0" fillId="0" borderId="0" xfId="0"/>
    <xf numFmtId="49" fontId="0" fillId="0" borderId="0" xfId="0" applyNumberFormat="1"/>
    <xf numFmtId="0" fontId="4" fillId="0" borderId="0" xfId="0" applyFont="1"/>
    <xf numFmtId="14" fontId="4" fillId="0" borderId="0" xfId="0" applyNumberFormat="1" applyFont="1"/>
    <xf numFmtId="0" fontId="4" fillId="0" borderId="0" xfId="0" quotePrefix="1" applyFont="1"/>
    <xf numFmtId="164" fontId="4" fillId="0" borderId="0" xfId="2" applyNumberFormat="1" applyFont="1"/>
    <xf numFmtId="165" fontId="4" fillId="0" borderId="0" xfId="1" applyNumberFormat="1" applyFont="1"/>
    <xf numFmtId="0" fontId="3" fillId="0" borderId="0" xfId="4" applyBorder="1"/>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applyFill="1" applyBorder="1"/>
    <xf numFmtId="1" fontId="4" fillId="0" borderId="0" xfId="0" applyNumberFormat="1" applyFont="1"/>
    <xf numFmtId="49" fontId="4" fillId="0" borderId="0" xfId="0" applyNumberFormat="1" applyFont="1" applyAlignment="1">
      <alignment horizontal="left"/>
    </xf>
    <xf numFmtId="0" fontId="5" fillId="0" borderId="0" xfId="3" applyFont="1" applyAlignment="1"/>
    <xf numFmtId="0" fontId="9" fillId="0" borderId="1" xfId="4" applyFont="1"/>
    <xf numFmtId="44" fontId="4" fillId="2" borderId="0" xfId="1" applyFont="1" applyFill="1"/>
    <xf numFmtId="0" fontId="8" fillId="0" borderId="0" xfId="0" applyFont="1" applyFill="1"/>
    <xf numFmtId="0" fontId="11" fillId="3" borderId="2" xfId="0" applyFont="1" applyFill="1" applyBorder="1"/>
    <xf numFmtId="165" fontId="11" fillId="3" borderId="2" xfId="1" applyNumberFormat="1" applyFont="1" applyFill="1" applyBorder="1"/>
    <xf numFmtId="44" fontId="4" fillId="2" borderId="0" xfId="1" applyNumberFormat="1" applyFont="1" applyFill="1"/>
    <xf numFmtId="0" fontId="12" fillId="0" borderId="0" xfId="0" applyFont="1" applyFill="1" applyBorder="1"/>
    <xf numFmtId="0" fontId="13" fillId="0" borderId="0" xfId="0" applyNumberFormat="1" applyFont="1" applyFill="1" applyBorder="1"/>
    <xf numFmtId="44" fontId="13" fillId="0" borderId="0" xfId="1" applyFont="1" applyFill="1" applyBorder="1"/>
    <xf numFmtId="44" fontId="13" fillId="0" borderId="0" xfId="0" applyNumberFormat="1" applyFont="1" applyFill="1" applyBorder="1"/>
    <xf numFmtId="0" fontId="13" fillId="0" borderId="0" xfId="0" applyNumberFormat="1" applyFont="1" applyFill="1"/>
    <xf numFmtId="44" fontId="13" fillId="0" borderId="0" xfId="1" applyFont="1" applyFill="1"/>
    <xf numFmtId="44" fontId="13" fillId="0" borderId="0" xfId="0" applyNumberFormat="1" applyFont="1" applyFill="1"/>
    <xf numFmtId="49" fontId="4" fillId="0" borderId="0" xfId="0" applyNumberFormat="1" applyFont="1" applyFill="1"/>
    <xf numFmtId="44" fontId="4" fillId="0" borderId="0" xfId="0" applyNumberFormat="1" applyFont="1" applyFill="1"/>
    <xf numFmtId="0" fontId="7" fillId="0" borderId="0" xfId="5" applyBorder="1" applyAlignment="1"/>
    <xf numFmtId="9" fontId="4" fillId="0" borderId="0" xfId="0" applyNumberFormat="1" applyFont="1" applyAlignment="1">
      <alignment wrapText="1"/>
    </xf>
    <xf numFmtId="49" fontId="4" fillId="0" borderId="0" xfId="0" applyNumberFormat="1" applyFont="1" applyAlignment="1">
      <alignment wrapText="1"/>
    </xf>
    <xf numFmtId="0" fontId="14" fillId="0" borderId="0" xfId="0" applyFont="1" applyFill="1" applyBorder="1"/>
    <xf numFmtId="44" fontId="14" fillId="0" borderId="0" xfId="0" applyNumberFormat="1" applyFont="1" applyFill="1" applyBorder="1"/>
    <xf numFmtId="0" fontId="13" fillId="0" borderId="0" xfId="0" applyFont="1" applyFill="1" applyBorder="1"/>
    <xf numFmtId="166" fontId="17" fillId="0" borderId="0" xfId="0" applyNumberFormat="1" applyFont="1" applyFill="1" applyBorder="1"/>
    <xf numFmtId="166" fontId="13" fillId="0" borderId="0" xfId="1" applyNumberFormat="1" applyFont="1" applyFill="1" applyBorder="1"/>
    <xf numFmtId="166" fontId="13" fillId="0" borderId="0" xfId="1" applyNumberFormat="1" applyFont="1" applyFill="1"/>
    <xf numFmtId="0" fontId="18" fillId="0" borderId="0" xfId="0" applyFont="1"/>
    <xf numFmtId="0" fontId="0" fillId="0" borderId="0" xfId="0" applyAlignment="1">
      <alignment horizontal="right"/>
    </xf>
    <xf numFmtId="166" fontId="13" fillId="0" borderId="0" xfId="0" applyNumberFormat="1" applyFont="1" applyFill="1" applyBorder="1"/>
    <xf numFmtId="0" fontId="20" fillId="0" borderId="0" xfId="5" applyFont="1" applyBorder="1" applyAlignment="1"/>
    <xf numFmtId="44" fontId="4" fillId="0" borderId="0" xfId="0" applyNumberFormat="1" applyFont="1"/>
    <xf numFmtId="166" fontId="4" fillId="0" borderId="0" xfId="0" applyNumberFormat="1" applyFont="1"/>
    <xf numFmtId="0" fontId="1" fillId="0" borderId="0" xfId="0" applyFont="1"/>
    <xf numFmtId="0" fontId="7" fillId="0" borderId="0" xfId="5" applyFont="1" applyBorder="1"/>
    <xf numFmtId="166" fontId="21" fillId="2" borderId="0" xfId="1" applyNumberFormat="1" applyFont="1" applyFill="1"/>
    <xf numFmtId="0" fontId="0" fillId="0" borderId="0" xfId="0" applyFont="1"/>
    <xf numFmtId="0" fontId="19" fillId="0" borderId="0" xfId="5" applyFont="1" applyFill="1" applyBorder="1" applyAlignment="1">
      <alignment vertical="center" wrapText="1"/>
    </xf>
    <xf numFmtId="0" fontId="3" fillId="0" borderId="0" xfId="4" applyBorder="1" applyAlignment="1"/>
    <xf numFmtId="49" fontId="4" fillId="0" borderId="0" xfId="0" applyNumberFormat="1" applyFont="1" applyFill="1" applyAlignment="1">
      <alignment wrapText="1"/>
    </xf>
    <xf numFmtId="49" fontId="4" fillId="0" borderId="0" xfId="0" applyNumberFormat="1" applyFont="1" applyFill="1" applyAlignment="1">
      <alignment horizontal="right" wrapText="1"/>
    </xf>
    <xf numFmtId="49" fontId="4" fillId="0" borderId="0" xfId="0" applyNumberFormat="1"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0" fontId="16" fillId="0" borderId="0" xfId="0" applyFont="1" applyFill="1" applyAlignment="1">
      <alignment wrapText="1"/>
    </xf>
    <xf numFmtId="0" fontId="22" fillId="0" borderId="0" xfId="0" applyFont="1"/>
    <xf numFmtId="167" fontId="23" fillId="2" borderId="0" xfId="1" applyNumberFormat="1" applyFont="1" applyFill="1"/>
    <xf numFmtId="0" fontId="10" fillId="0" borderId="0" xfId="3" applyFont="1" applyAlignment="1">
      <alignment horizontal="left"/>
    </xf>
    <xf numFmtId="0" fontId="3" fillId="0" borderId="0" xfId="4" applyBorder="1" applyAlignment="1">
      <alignment horizontal="left"/>
    </xf>
    <xf numFmtId="0" fontId="3" fillId="0" borderId="0" xfId="4" applyFont="1" applyBorder="1" applyAlignment="1">
      <alignment horizontal="left"/>
    </xf>
    <xf numFmtId="0" fontId="19" fillId="0" borderId="0" xfId="5" applyFont="1" applyAlignment="1">
      <alignment horizontal="left"/>
    </xf>
    <xf numFmtId="0" fontId="20" fillId="0" borderId="0" xfId="5" applyFont="1" applyBorder="1" applyAlignment="1">
      <alignment horizontal="left"/>
    </xf>
    <xf numFmtId="0" fontId="5" fillId="0" borderId="0" xfId="3" applyFont="1" applyAlignment="1">
      <alignment horizontal="left"/>
    </xf>
    <xf numFmtId="0" fontId="24" fillId="0" borderId="0" xfId="5" applyFont="1" applyFill="1" applyAlignment="1">
      <alignment horizontal="center" vertical="center"/>
    </xf>
    <xf numFmtId="0" fontId="5" fillId="0" borderId="0" xfId="4" applyFont="1" applyBorder="1" applyAlignment="1">
      <alignment horizontal="left"/>
    </xf>
    <xf numFmtId="0" fontId="19" fillId="0" borderId="0" xfId="5" applyFont="1" applyBorder="1" applyAlignment="1">
      <alignment horizontal="left"/>
    </xf>
    <xf numFmtId="0" fontId="15" fillId="0" borderId="0" xfId="3" applyFont="1" applyAlignment="1">
      <alignment horizontal="left" wrapText="1"/>
    </xf>
    <xf numFmtId="0" fontId="4" fillId="0" borderId="0" xfId="0" applyFont="1" applyFill="1"/>
  </cellXfs>
  <cellStyles count="6">
    <cellStyle name="Currency" xfId="1" builtinId="4"/>
    <cellStyle name="Explanatory Text" xfId="5" builtinId="53"/>
    <cellStyle name="Heading 1" xfId="4" builtinId="16"/>
    <cellStyle name="Normal" xfId="0" builtinId="0"/>
    <cellStyle name="Percent" xfId="2" builtinId="5"/>
    <cellStyle name="Title" xfId="3" builtinId="15"/>
  </cellStyles>
  <dxfs count="120">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66" formatCode="0.000"/>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none">
          <fgColor indexed="64"/>
          <bgColor indexed="65"/>
        </patternFill>
      </fill>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dxf>
    <dxf>
      <font>
        <color theme="0"/>
      </font>
      <fill>
        <patternFill>
          <bgColor theme="0"/>
        </patternFill>
      </fill>
      <border>
        <vertical/>
        <horizontal/>
      </border>
    </dxf>
    <dxf>
      <font>
        <color theme="0"/>
      </font>
      <fill>
        <patternFill patternType="solid">
          <bgColor theme="0"/>
        </patternFill>
      </fill>
    </dxf>
    <dxf>
      <font>
        <color theme="0"/>
      </font>
      <fill>
        <patternFill>
          <bgColor theme="0"/>
        </patternFill>
      </fill>
      <border>
        <vertical/>
        <horizontal/>
      </border>
    </dxf>
    <dxf>
      <font>
        <color theme="0"/>
      </font>
      <fill>
        <patternFill patternType="solid">
          <bgColor theme="0"/>
        </patternFill>
      </fill>
    </dxf>
    <dxf>
      <font>
        <color rgb="FFFF0000"/>
      </font>
      <fill>
        <patternFill>
          <bgColor rgb="FFFFFF00"/>
        </patternFill>
      </fill>
    </dxf>
    <dxf>
      <font>
        <color auto="1"/>
      </font>
      <fill>
        <patternFill patternType="none">
          <bgColor auto="1"/>
        </patternFill>
      </fill>
    </dxf>
    <dxf>
      <font>
        <b/>
        <i/>
      </font>
      <fill>
        <patternFill>
          <bgColor rgb="FFFFFF00"/>
        </patternFill>
      </fill>
    </dxf>
    <dxf>
      <font>
        <b/>
        <i val="0"/>
        <color rgb="FFFF0000"/>
      </font>
      <fill>
        <patternFill>
          <bgColor rgb="FFFFFF00"/>
        </patternFill>
      </fill>
    </dxf>
    <dxf>
      <font>
        <color rgb="FFFF0000"/>
      </font>
      <fill>
        <patternFill>
          <bgColor rgb="FFFFFF00"/>
        </patternFill>
      </fill>
    </dxf>
    <dxf>
      <font>
        <color auto="1"/>
      </font>
      <fill>
        <patternFill patternType="none">
          <bgColor auto="1"/>
        </patternFill>
      </fill>
    </dxf>
    <dxf>
      <font>
        <b val="0"/>
        <i val="0"/>
        <strike val="0"/>
        <condense val="0"/>
        <extend val="0"/>
        <outline val="0"/>
        <shadow val="0"/>
        <u val="none"/>
        <vertAlign val="baseline"/>
        <sz val="10"/>
        <color rgb="FF000000"/>
        <name val="Calibri"/>
        <scheme val="none"/>
      </font>
      <numFmt numFmtId="0" formatCode="General"/>
      <fill>
        <patternFill patternType="none">
          <fgColor rgb="FF000000"/>
          <bgColor auto="1"/>
        </patternFill>
      </fill>
    </dxf>
    <dxf>
      <font>
        <b val="0"/>
        <i val="0"/>
        <strike val="0"/>
        <condense val="0"/>
        <extend val="0"/>
        <outline val="0"/>
        <shadow val="0"/>
        <u val="none"/>
        <vertAlign val="baseline"/>
        <sz val="10"/>
        <color rgb="FF000000"/>
        <name val="Calibri"/>
        <scheme val="none"/>
      </font>
      <numFmt numFmtId="0" formatCode="General"/>
      <fill>
        <patternFill patternType="none">
          <fgColor rgb="FF000000"/>
          <bgColor auto="1"/>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0.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0.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numFmt numFmtId="34" formatCode="_(&quot;$&quot;* #,##0.00_);_(&quot;$&quot;* \(#,##0.00\);_(&quot;$&quot;* &quot;-&quot;??_);_(@_)"/>
      <fill>
        <patternFill patternType="none">
          <fgColor indexed="64"/>
          <bgColor auto="1"/>
        </patternFill>
      </fill>
    </dxf>
    <dxf>
      <font>
        <b val="0"/>
        <i val="0"/>
        <strike val="0"/>
        <condense val="0"/>
        <extend val="0"/>
        <outline val="0"/>
        <shadow val="0"/>
        <u val="none"/>
        <vertAlign val="baseline"/>
        <sz val="10"/>
        <color auto="1"/>
        <name val="Calibri"/>
        <scheme val="minor"/>
      </font>
      <numFmt numFmtId="166" formatCode="0.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6" formatCode="0.00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34" formatCode="_(&quot;$&quot;* #,##0.00_);_(&quot;$&quot;* \(#,##0.00\);_(&quot;$&quot;* &quot;-&quot;??_);_(@_)"/>
      <fill>
        <patternFill patternType="none">
          <fgColor indexed="64"/>
          <bgColor indexed="65"/>
        </patternFill>
      </fill>
      <border diagonalUp="0" diagonalDown="0" outline="0">
        <left/>
        <right/>
        <top/>
        <bottom/>
      </border>
    </dxf>
    <dxf>
      <font>
        <strike val="0"/>
        <outline val="0"/>
        <shadow val="0"/>
        <u val="none"/>
        <vertAlign val="baseline"/>
        <sz val="10"/>
        <color auto="1"/>
        <name val="Calibri"/>
        <scheme val="minor"/>
      </font>
      <fill>
        <patternFill patternType="none">
          <fgColor indexed="64"/>
          <bgColor auto="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top/>
        <bottom/>
      </border>
    </dxf>
    <dxf>
      <font>
        <b val="0"/>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top" textRotation="0" wrapText="0" indent="0" justifyLastLine="0" shrinkToFit="0" readingOrder="0"/>
    </dxf>
    <dxf>
      <font>
        <strike val="0"/>
        <outline val="0"/>
        <shadow val="0"/>
        <u val="none"/>
        <vertAlign val="baseline"/>
        <sz val="10"/>
        <color theme="1"/>
        <name val="Calibri"/>
        <scheme val="minor"/>
      </font>
      <alignment horizontal="left" vertical="top" textRotation="0" indent="0" justifyLastLine="0" shrinkToFit="0" readingOrder="0"/>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dxf>
    <dxf>
      <font>
        <strike val="0"/>
        <outline val="0"/>
        <shadow val="0"/>
        <u val="none"/>
        <vertAlign val="baseline"/>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0"/>
        <color theme="1"/>
        <name val="Calibri"/>
        <scheme val="minor"/>
      </font>
      <numFmt numFmtId="30" formatCode="@"/>
      <alignment horizontal="general" vertical="bottom" textRotation="0" wrapText="1" indent="0" justifyLastLine="0" shrinkToFit="0" readingOrder="0"/>
    </dxf>
    <dxf>
      <font>
        <strike val="0"/>
        <outline val="0"/>
        <shadow val="0"/>
        <u val="none"/>
        <vertAlign val="baseline"/>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minor"/>
      </font>
      <numFmt numFmtId="167" formatCode="0.0"/>
      <fill>
        <patternFill patternType="solid">
          <fgColor indexed="64"/>
          <bgColor theme="0" tint="-0.14999847407452621"/>
        </patternFill>
      </fill>
    </dxf>
    <dxf>
      <font>
        <strike val="0"/>
        <outline val="0"/>
        <shadow val="0"/>
        <u val="none"/>
        <vertAlign val="baseline"/>
        <sz val="10"/>
        <color rgb="FF000000"/>
        <name val="Calibri"/>
        <scheme val="minor"/>
      </font>
      <numFmt numFmtId="166" formatCode="0.000"/>
      <fill>
        <patternFill patternType="solid">
          <fgColor indexed="64"/>
          <bgColor theme="0" tint="-0.14999847407452621"/>
        </patternFill>
      </fill>
    </dxf>
    <dxf>
      <font>
        <strike val="0"/>
        <outline val="0"/>
        <shadow val="0"/>
        <u val="none"/>
        <vertAlign val="baseline"/>
        <sz val="10"/>
        <color theme="1"/>
        <name val="Calibri"/>
        <scheme val="minor"/>
      </font>
      <numFmt numFmtId="34" formatCode="_(&quot;$&quot;* #,##0.00_);_(&quot;$&quot;* \(#,##0.00\);_(&quot;$&quot;* &quot;-&quot;??_);_(@_)"/>
      <fill>
        <patternFill patternType="solid">
          <fgColor indexed="64"/>
          <bgColor theme="0" tint="-0.14999847407452621"/>
        </patternFill>
      </fill>
    </dxf>
    <dxf>
      <font>
        <b val="0"/>
        <i val="0"/>
        <strike val="0"/>
        <condense val="0"/>
        <extend val="0"/>
        <outline val="0"/>
        <shadow val="0"/>
        <u val="none"/>
        <vertAlign val="baseline"/>
        <sz val="10"/>
        <color theme="1"/>
        <name val="Calibri"/>
        <scheme val="minor"/>
      </font>
      <numFmt numFmtId="164" formatCode="0.0%"/>
    </dxf>
    <dxf>
      <font>
        <b val="0"/>
        <i val="0"/>
        <strike val="0"/>
        <condense val="0"/>
        <extend val="0"/>
        <outline val="0"/>
        <shadow val="0"/>
        <u val="none"/>
        <vertAlign val="baseline"/>
        <sz val="10"/>
        <color theme="1"/>
        <name val="Calibri"/>
        <scheme val="minor"/>
      </font>
      <numFmt numFmtId="30" formatCode="@"/>
      <alignment horizontal="left" vertical="bottom" textRotation="0" wrapText="0" indent="0" justifyLastLine="0" shrinkToFit="0" readingOrder="0"/>
    </dxf>
    <dxf>
      <font>
        <strike val="0"/>
        <outline val="0"/>
        <shadow val="0"/>
        <u val="none"/>
        <vertAlign val="baseline"/>
        <sz val="10"/>
        <color theme="1"/>
        <name val="Calibri"/>
        <scheme val="minor"/>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5" formatCode="_(&quot;$&quot;* #,##0_);_(&quot;$&quot;* \(#,##0\);_(&quot;$&quot;* &quot;-&quot;??_);_(@_)"/>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none"/>
      </font>
      <fill>
        <patternFill patternType="none">
          <fgColor rgb="FF000000"/>
          <bgColor auto="1"/>
        </patternFill>
      </fill>
      <alignment vertical="bottom" textRotation="0" wrapText="1" indent="0" justifyLastLine="0" shrinkToFit="0" readingOrder="0"/>
    </dxf>
    <dxf>
      <font>
        <b val="0"/>
        <i val="0"/>
        <strike val="0"/>
        <condense val="0"/>
        <extend val="0"/>
        <outline val="0"/>
        <shadow val="0"/>
        <u val="none"/>
        <vertAlign val="baseline"/>
        <sz val="10"/>
        <color rgb="FF000000"/>
        <name val="Calibri"/>
        <scheme val="none"/>
      </font>
      <fill>
        <patternFill patternType="none">
          <fgColor rgb="FF000000"/>
          <bgColor auto="1"/>
        </patternFill>
      </fill>
      <alignment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Calibri"/>
      </font>
      <numFmt numFmtId="30" formatCode="@"/>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auto="1"/>
        </patternFill>
      </fill>
      <alignment vertical="bottom" textRotation="0" wrapText="1" indent="0" justifyLastLine="0" shrinkToFit="0" readingOrder="0"/>
    </dxf>
    <dxf>
      <border outline="0">
        <bottom style="thin">
          <color rgb="FF8EA9DB"/>
        </bottom>
      </border>
    </dxf>
    <dxf>
      <font>
        <b val="0"/>
        <i val="0"/>
        <strike val="0"/>
        <condense val="0"/>
        <extend val="0"/>
        <outline val="0"/>
        <shadow val="0"/>
        <u val="none"/>
        <vertAlign val="baseline"/>
        <sz val="10"/>
        <color rgb="FF000000"/>
        <name val="Calibri"/>
        <scheme val="none"/>
      </font>
      <fill>
        <patternFill patternType="none">
          <fgColor rgb="FF000000"/>
          <bgColor auto="1"/>
        </patternFill>
      </fill>
    </dxf>
    <dxf>
      <font>
        <strike val="0"/>
        <outline val="0"/>
        <shadow val="0"/>
        <u val="none"/>
        <vertAlign val="baseline"/>
        <sz val="9"/>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fill>
        <patternFill>
          <bgColor theme="0" tint="-4.9989318521683403E-2"/>
        </patternFill>
      </fill>
    </dxf>
    <dxf>
      <font>
        <b val="0"/>
        <i val="0"/>
        <color theme="1"/>
      </font>
    </dxf>
    <dxf>
      <font>
        <b/>
        <color theme="1"/>
      </font>
      <fill>
        <patternFill patternType="none">
          <bgColor auto="1"/>
        </patternFill>
      </fill>
      <border diagonalUp="0" diagonalDown="0">
        <left style="thin">
          <color theme="3" tint="0.79998168889431442"/>
        </left>
        <right style="thin">
          <color theme="3" tint="0.79998168889431442"/>
        </right>
        <top style="double">
          <color theme="4"/>
        </top>
        <bottom style="thin">
          <color theme="3" tint="0.79998168889431442"/>
        </bottom>
        <vertical/>
        <horizontal/>
      </border>
    </dxf>
    <dxf>
      <font>
        <b/>
        <color theme="0"/>
      </font>
      <fill>
        <patternFill patternType="solid">
          <fgColor theme="4"/>
          <bgColor theme="4"/>
        </patternFill>
      </fill>
    </dxf>
    <dxf>
      <font>
        <color theme="1"/>
      </font>
      <border>
        <left style="thin">
          <color theme="4" tint="0.39994506668294322"/>
        </left>
        <right style="thin">
          <color theme="4" tint="0.39994506668294322"/>
        </right>
        <top style="thin">
          <color theme="4" tint="0.39994506668294322"/>
        </top>
        <bottom style="thin">
          <color theme="4" tint="0.39994506668294322"/>
        </bottom>
        <vertical style="thin">
          <color theme="4" tint="0.39991454817346722"/>
        </vertical>
        <horizontal style="thin">
          <color theme="4" tint="0.39997558519241921"/>
        </horizontal>
      </border>
    </dxf>
  </dxfs>
  <tableStyles count="1" defaultTableStyle="TableStyleLight9" defaultPivotStyle="PivotStyleMedium9">
    <tableStyle name="TableStyleMedium2 2" pivot="0" count="7">
      <tableStyleElement type="wholeTable" dxfId="119"/>
      <tableStyleElement type="headerRow" dxfId="118"/>
      <tableStyleElement type="totalRow" dxfId="117"/>
      <tableStyleElement type="firstColumn" dxfId="116"/>
      <tableStyleElement type="lastColumn" dxfId="115"/>
      <tableStyleElement type="firstRowStripe" dxfId="114"/>
      <tableStyleElement type="firstColumnStripe" dxfId="1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 name="Details" displayName="Details" ref="A3:B5" headerRowCount="0" headerRowDxfId="112" dataDxfId="111" totalsRowDxfId="110">
  <tableColumns count="2">
    <tableColumn id="1" name="Column1" dataDxfId="109"/>
    <tableColumn id="2" name="Column2" dataDxfId="108"/>
  </tableColumns>
  <tableStyleInfo name="TableStyleMedium25" showFirstColumn="0" showLastColumn="0" showRowStripes="0" showColumnStripes="0"/>
</table>
</file>

<file path=xl/tables/table2.xml><?xml version="1.0" encoding="utf-8"?>
<table xmlns="http://schemas.openxmlformats.org/spreadsheetml/2006/main" id="9" name="Courses" displayName="Courses" ref="A7:K15" totalsRowCount="1" headerRowDxfId="107" dataDxfId="106" tableBorderDxfId="105">
  <sortState ref="A11:H19">
    <sortCondition ref="A10:A19"/>
  </sortState>
  <tableColumns count="11">
    <tableColumn id="1" name="Subject" totalsRowFunction="custom" dataDxfId="104" totalsRowDxfId="15">
      <totalsRowFormula>IF(COUNTIF(Courses[Duplicate],"TRUE")&gt;0,"Error: Duplicate course names","")</totalsRowFormula>
    </tableColumn>
    <tableColumn id="11" name="Cat #" dataDxfId="103" totalsRowDxfId="14"/>
    <tableColumn id="9" name="Course Title" dataDxfId="102" totalsRowDxfId="13"/>
    <tableColumn id="3" name="Credit Range" dataDxfId="101" totalsRowDxfId="12"/>
    <tableColumn id="8" name="Instruction Mode" dataDxfId="100" totalsRowDxfId="11"/>
    <tableColumn id="5" name="Planned Capacity - Fall '20" dataDxfId="99" totalsRowDxfId="10"/>
    <tableColumn id="2" name="Planned Capacity - Spring '21" dataDxfId="98" totalsRowDxfId="9"/>
    <tableColumn id="4" name="Enrollment Fall '19" dataDxfId="97"/>
    <tableColumn id="6" name="Enrollment Spring '20" dataDxfId="96"/>
    <tableColumn id="7" name="Duplicate" dataDxfId="26">
      <calculatedColumnFormula>IF(ISBLANK(Courses[[#This Row],[Course Title]]),FALSE,COUNTIF(Courses[DropdownCourse],Courses[[#This Row],[DropdownCourse]])&gt;1)</calculatedColumnFormula>
    </tableColumn>
    <tableColumn id="10" name="DropdownCourse" dataDxfId="27">
      <calculatedColumnFormula>IF(ISBLANK(Courses[[#This Row],[Course Title]]),"",CONCATENATE(Courses[[#This Row],[Subject]]," ",Courses[[#This Row],[Cat '#]], ", ",Courses[[#This Row],[Course Title]]))</calculatedColumnFormula>
    </tableColumn>
  </tableColumns>
  <tableStyleInfo name="TableStyleMedium2 2" showFirstColumn="0" showLastColumn="0" showRowStripes="1" showColumnStripes="0"/>
</table>
</file>

<file path=xl/tables/table3.xml><?xml version="1.0" encoding="utf-8"?>
<table xmlns="http://schemas.openxmlformats.org/spreadsheetml/2006/main" id="12" name="Funding" displayName="Funding" ref="A17:B19" headerRowDxfId="95" dataDxfId="94">
  <tableColumns count="2">
    <tableColumn id="1" name="Fund Name" dataDxfId="93" totalsRowDxfId="92"/>
    <tableColumn id="2" name="Funding String" dataDxfId="91" totalsRowDxfId="90" dataCellStyle="Currency"/>
  </tableColumns>
  <tableStyleInfo name="TableStyleMedium2 2" showFirstColumn="0" showLastColumn="0" showRowStripes="1" showColumnStripes="0"/>
</table>
</file>

<file path=xl/tables/table4.xml><?xml version="1.0" encoding="utf-8"?>
<table xmlns="http://schemas.openxmlformats.org/spreadsheetml/2006/main" id="14" name="TA" displayName="TA" ref="A7:I18" totalsRowCount="1" headerRowDxfId="89" dataDxfId="88" totalsRowDxfId="87">
  <tableColumns count="9">
    <tableColumn id="1" name="Course" totalsRowDxfId="8"/>
    <tableColumn id="5" name="# of TA's" totalsRowFunction="sum" dataDxfId="86" totalsRowDxfId="7"/>
    <tableColumn id="4" name="Appt Structure" dataDxfId="85" totalsRowDxfId="6"/>
    <tableColumn id="7" name="Funding" dataDxfId="84" totalsRowDxfId="5"/>
    <tableColumn id="2" name="Timeframe" dataDxfId="83" totalsRowDxfId="4"/>
    <tableColumn id="3" name="Appt %" dataDxfId="82" totalsRowDxfId="3" dataCellStyle="Percent"/>
    <tableColumn id="9" name="Est. Salary" totalsRowFunction="sum" dataDxfId="81" totalsRowDxfId="2" dataCellStyle="Currency">
      <calculatedColumnFormula>(TARate*TA[Appt %]*SUMIF(Calc[Timeframe],TA[Timeframe],Calc[Salary Calc]))*TA[[#This Row],['# of TA''s]]</calculatedColumnFormula>
    </tableColumn>
    <tableColumn id="6" name="FTE" totalsRowFunction="sum" dataDxfId="80" totalsRowDxfId="1" dataCellStyle="Currency">
      <calculatedColumnFormula>IF(TA[[#This Row],[Est. Salary]]="","",TA[[#This Row],[Est. Salary]]/TARate)</calculatedColumnFormula>
    </tableColumn>
    <tableColumn id="8" name="Column1" totalsRowFunction="custom" dataDxfId="79" totalsRowDxfId="0" dataCellStyle="Currency">
      <calculatedColumnFormula>IF(ISBLANK(TA[[#This Row],[Course]]),1,COUNTIF(DropCourse,TA[[#This Row],[Course]]))</calculatedColumnFormula>
      <totalsRowFormula>COUNTA(TA[Column1])-SUM(TA[Column1])</totalsRowFormula>
    </tableColumn>
  </tableColumns>
  <tableStyleInfo name="TableStyleMedium2 2" showFirstColumn="0" showLastColumn="1" showRowStripes="1" showColumnStripes="0"/>
</table>
</file>

<file path=xl/tables/table5.xml><?xml version="1.0" encoding="utf-8"?>
<table xmlns="http://schemas.openxmlformats.org/spreadsheetml/2006/main" id="3" name="Reader" displayName="Reader" ref="A20:E22" totalsRowCount="1" headerRowDxfId="78" dataDxfId="77" totalsRowDxfId="76">
  <tableColumns count="5">
    <tableColumn id="1" name="Course Number &amp; Title" dataDxfId="75" totalsRowDxfId="74"/>
    <tableColumn id="5" name="Hours" totalsRowFunction="sum" dataDxfId="73" totalsRowDxfId="72"/>
    <tableColumn id="7" name="Funding" dataDxfId="71" totalsRowDxfId="70"/>
    <tableColumn id="3" name="Timeframe" dataDxfId="69" totalsRowDxfId="68"/>
    <tableColumn id="9" name="Est. Salary ($21.57/hr)" totalsRowFunction="sum" dataDxfId="67" totalsRowDxfId="66" dataCellStyle="Currency">
      <calculatedColumnFormula>IF(Reader[[#This Row],[Course Number &amp; Title]]="","",Reader[[#This Row],[Hours]]*21.57)</calculatedColumnFormula>
    </tableColumn>
  </tableColumns>
  <tableStyleInfo name="TableStyleMedium2 2" showFirstColumn="0" showLastColumn="1" showRowStripes="1" showColumnStripes="0"/>
</table>
</file>

<file path=xl/tables/table6.xml><?xml version="1.0" encoding="utf-8"?>
<table xmlns="http://schemas.openxmlformats.org/spreadsheetml/2006/main" id="7" name="Notes" displayName="Notes" ref="A4:B9" headerRowDxfId="65" dataDxfId="64">
  <tableColumns count="2">
    <tableColumn id="1" name="Course Number &amp; Title" dataDxfId="63" totalsRowDxfId="62"/>
    <tableColumn id="2" name="Notes" dataDxfId="61" totalsRowDxfId="60"/>
  </tableColumns>
  <tableStyleInfo name="TableStyleMedium2 2" showFirstColumn="0" showLastColumn="0" showRowStripes="1" showColumnStripes="0"/>
</table>
</file>

<file path=xl/tables/table7.xml><?xml version="1.0" encoding="utf-8"?>
<table xmlns="http://schemas.openxmlformats.org/spreadsheetml/2006/main" id="11" name="Summary" displayName="Summary" ref="A3:E34" totalsRowCount="1" headerRowDxfId="59" dataDxfId="58" totalsRowDxfId="57">
  <tableColumns count="5">
    <tableColumn id="2" name="Course" dataDxfId="56" totalsRowDxfId="55">
      <calculatedColumnFormula>IFERROR(INDEX(Courses[DropdownCourse],ROW()-3,1),"")</calculatedColumnFormula>
    </tableColumn>
    <tableColumn id="4" name="TA Estimate" totalsRowFunction="sum" dataDxfId="54" totalsRowDxfId="53" dataCellStyle="Currency">
      <calculatedColumnFormula>SUMIF(TA[Course],Summary[[#This Row],[Course]],TA[Est. Salary])</calculatedColumnFormula>
    </tableColumn>
    <tableColumn id="3" name="TA FTE" totalsRowFunction="sum" dataDxfId="52" totalsRowDxfId="51" dataCellStyle="Currency">
      <calculatedColumnFormula>IF(Summary[[#This Row],[TA Estimate]]=0,"",Summary[[#This Row],[TA Estimate]]/TARate)</calculatedColumnFormula>
    </tableColumn>
    <tableColumn id="5" name="Reader Estimate" totalsRowFunction="sum" dataDxfId="50" totalsRowDxfId="49">
      <calculatedColumnFormula>SUMIF(Reader[Course Number &amp; Title],Summary[[#This Row],[Course]],Reader[Est. Salary ($21.57/hr)])</calculatedColumnFormula>
    </tableColumn>
    <tableColumn id="6" name="Total Estimate" totalsRowFunction="sum" dataDxfId="48" totalsRowDxfId="47" dataCellStyle="Currency">
      <calculatedColumnFormula>Summary[[#This Row],[TA Estimate]]+Summary[[#This Row],[Reader Estimate]]</calculatedColumnFormula>
    </tableColumn>
  </tableColumns>
  <tableStyleInfo name="TableStyleMedium2 2" showFirstColumn="1" showLastColumn="1" showRowStripes="0" showColumnStripes="0"/>
</table>
</file>

<file path=xl/tables/table8.xml><?xml version="1.0" encoding="utf-8"?>
<table xmlns="http://schemas.openxmlformats.org/spreadsheetml/2006/main" id="4" name="Summary5" displayName="Summary5" ref="A3:E34" totalsRowCount="1" headerRowDxfId="46" dataDxfId="45" totalsRowDxfId="44">
  <tableColumns count="5">
    <tableColumn id="2" name="Funding" dataDxfId="43" totalsRowDxfId="42">
      <calculatedColumnFormula>IFERROR(INDEX(Funding[Fund Name],ROW()-3,1),"")</calculatedColumnFormula>
    </tableColumn>
    <tableColumn id="4" name="TA Estimate" totalsRowFunction="sum" dataDxfId="41" totalsRowDxfId="40" dataCellStyle="Currency">
      <calculatedColumnFormula>IF(Summary5[[#This Row],[Funding]]="",0,SUMIF(TA[Funding],Summary5[[#This Row],[Funding]],TA[Est. Salary]))</calculatedColumnFormula>
    </tableColumn>
    <tableColumn id="1" name="TA FTE" totalsRowFunction="sum" dataDxfId="39" totalsRowDxfId="38" dataCellStyle="Currency">
      <calculatedColumnFormula>IFERROR(IF(Summary5[[#This Row],[TA Estimate]]=0,"",Summary5[[#This Row],[TA Estimate]]/TARate),"")</calculatedColumnFormula>
    </tableColumn>
    <tableColumn id="5" name="Reader Estimate" totalsRowFunction="sum" dataDxfId="37" totalsRowDxfId="36">
      <calculatedColumnFormula>IF(Summary5[[#This Row],[Funding]]="",0,SUMIF(Reader[Funding],Summary5[[#This Row],[Funding]],Reader[Est. Salary ($21.57/hr)]))</calculatedColumnFormula>
    </tableColumn>
    <tableColumn id="6" name="Total Estimate" totalsRowFunction="sum" dataDxfId="35" totalsRowDxfId="34" dataCellStyle="Currency">
      <calculatedColumnFormula>Summary5[[#This Row],[TA Estimate]]+Summary5[[#This Row],[Reader Estimate]]</calculatedColumnFormula>
    </tableColumn>
  </tableColumns>
  <tableStyleInfo name="TableStyleMedium2 2" showFirstColumn="1" showLastColumn="1" showRowStripes="0" showColumnStripes="0"/>
</table>
</file>

<file path=xl/tables/table9.xml><?xml version="1.0" encoding="utf-8"?>
<table xmlns="http://schemas.openxmlformats.org/spreadsheetml/2006/main" id="16" name="Calc" displayName="Calc" ref="A2:D4" totalsRowShown="0" headerRowDxfId="33" dataDxfId="32">
  <tableColumns count="4">
    <tableColumn id="1" name="Timeframe" dataDxfId="31"/>
    <tableColumn id="2" name="Salary Calc" dataDxfId="30"/>
    <tableColumn id="3" name="Calculation" dataDxfId="29"/>
    <tableColumn id="4" name="Notes" dataDxfId="2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tabSelected="1" zoomScaleNormal="100" workbookViewId="0">
      <selection activeCell="B3" sqref="B3"/>
    </sheetView>
  </sheetViews>
  <sheetFormatPr defaultColWidth="24.28515625" defaultRowHeight="15" x14ac:dyDescent="0.25"/>
  <cols>
    <col min="2" max="2" width="24.85546875" customWidth="1"/>
    <col min="4" max="4" width="10" bestFit="1" customWidth="1"/>
    <col min="6" max="9" width="24.28515625" customWidth="1"/>
    <col min="10" max="10" width="7.7109375" hidden="1" customWidth="1"/>
    <col min="11" max="11" width="39" hidden="1" customWidth="1"/>
  </cols>
  <sheetData>
    <row r="1" spans="1:11" ht="26.25" x14ac:dyDescent="0.4">
      <c r="A1" s="60" t="s">
        <v>55</v>
      </c>
      <c r="B1" s="60"/>
      <c r="C1" s="60"/>
      <c r="D1" s="60"/>
    </row>
    <row r="2" spans="1:11" ht="20.25" customHeight="1" thickBot="1" x14ac:dyDescent="0.4">
      <c r="A2" s="16" t="s">
        <v>25</v>
      </c>
      <c r="B2" s="16"/>
      <c r="C2" s="15"/>
    </row>
    <row r="3" spans="1:11" ht="15.75" thickTop="1" x14ac:dyDescent="0.25">
      <c r="A3" s="2" t="s">
        <v>0</v>
      </c>
      <c r="B3" s="2" t="s">
        <v>36</v>
      </c>
    </row>
    <row r="4" spans="1:11" x14ac:dyDescent="0.25">
      <c r="A4" s="2" t="s">
        <v>3</v>
      </c>
      <c r="B4" s="2" t="s">
        <v>37</v>
      </c>
    </row>
    <row r="5" spans="1:11" x14ac:dyDescent="0.25">
      <c r="A5" s="2" t="s">
        <v>2</v>
      </c>
      <c r="B5" s="3">
        <v>43843</v>
      </c>
    </row>
    <row r="6" spans="1:11" ht="19.5" x14ac:dyDescent="0.3">
      <c r="A6" s="7" t="s">
        <v>4</v>
      </c>
      <c r="B6" s="3"/>
    </row>
    <row r="7" spans="1:11" x14ac:dyDescent="0.25">
      <c r="A7" s="40" t="s">
        <v>70</v>
      </c>
      <c r="B7" s="40" t="s">
        <v>71</v>
      </c>
      <c r="C7" s="40" t="s">
        <v>72</v>
      </c>
      <c r="D7" s="40" t="s">
        <v>5</v>
      </c>
      <c r="E7" s="40" t="s">
        <v>67</v>
      </c>
      <c r="F7" s="40" t="s">
        <v>61</v>
      </c>
      <c r="G7" s="40" t="s">
        <v>62</v>
      </c>
      <c r="H7" s="40" t="s">
        <v>63</v>
      </c>
      <c r="I7" s="40" t="s">
        <v>64</v>
      </c>
      <c r="J7" s="40" t="s">
        <v>66</v>
      </c>
      <c r="K7" s="40" t="s">
        <v>69</v>
      </c>
    </row>
    <row r="8" spans="1:11" x14ac:dyDescent="0.25">
      <c r="A8" s="52" t="s">
        <v>36</v>
      </c>
      <c r="B8" s="52" t="s">
        <v>73</v>
      </c>
      <c r="C8" s="52" t="s">
        <v>80</v>
      </c>
      <c r="D8" s="53" t="s">
        <v>30</v>
      </c>
      <c r="E8" s="54" t="s">
        <v>68</v>
      </c>
      <c r="F8" s="53" t="s">
        <v>49</v>
      </c>
      <c r="G8" s="55">
        <v>422</v>
      </c>
      <c r="H8" s="56">
        <v>655</v>
      </c>
      <c r="I8" s="57">
        <v>400</v>
      </c>
      <c r="J8" s="18" t="b">
        <f>IF(ISBLANK(Courses[[#This Row],[Course Title]]),FALSE,COUNTIF(Courses[DropdownCourse],Courses[[#This Row],[DropdownCourse]])&gt;1)</f>
        <v>0</v>
      </c>
      <c r="K8" s="18" t="str">
        <f>IF(ISBLANK(Courses[[#This Row],[Course Title]]),"",CONCATENATE(Courses[[#This Row],[Subject]]," ",Courses[[#This Row],[Cat '#]], ", ",Courses[[#This Row],[Course Title]]))</f>
        <v>Jurassic Studies 101, Biology</v>
      </c>
    </row>
    <row r="9" spans="1:11" x14ac:dyDescent="0.25">
      <c r="A9" s="52" t="s">
        <v>36</v>
      </c>
      <c r="B9" s="52" t="s">
        <v>74</v>
      </c>
      <c r="C9" s="52" t="s">
        <v>81</v>
      </c>
      <c r="D9" s="53" t="s">
        <v>31</v>
      </c>
      <c r="E9" s="54" t="s">
        <v>68</v>
      </c>
      <c r="F9" s="53" t="s">
        <v>50</v>
      </c>
      <c r="G9" s="55">
        <v>350</v>
      </c>
      <c r="H9" s="56">
        <v>753</v>
      </c>
      <c r="I9" s="57">
        <v>340</v>
      </c>
      <c r="J9" s="18" t="b">
        <f>IF(ISBLANK(Courses[[#This Row],[Course Title]]),FALSE,COUNTIF(Courses[DropdownCourse],Courses[[#This Row],[DropdownCourse]])&gt;1)</f>
        <v>0</v>
      </c>
      <c r="K9" s="18" t="str">
        <f>IF(ISBLANK(Courses[[#This Row],[Course Title]]),"",CONCATENATE(Courses[[#This Row],[Subject]]," ",Courses[[#This Row],[Cat '#]], ", ",Courses[[#This Row],[Course Title]]))</f>
        <v>Jurassic Studies 102, Biology Lab</v>
      </c>
    </row>
    <row r="10" spans="1:11" x14ac:dyDescent="0.25">
      <c r="A10" s="52" t="s">
        <v>36</v>
      </c>
      <c r="B10" s="52" t="s">
        <v>75</v>
      </c>
      <c r="C10" s="52" t="s">
        <v>82</v>
      </c>
      <c r="D10" s="53" t="s">
        <v>31</v>
      </c>
      <c r="E10" s="54" t="s">
        <v>68</v>
      </c>
      <c r="F10" s="53" t="s">
        <v>51</v>
      </c>
      <c r="G10" s="55"/>
      <c r="H10" s="56">
        <v>147</v>
      </c>
      <c r="I10" s="57"/>
      <c r="J10" s="18" t="b">
        <f>IF(ISBLANK(Courses[[#This Row],[Course Title]]),FALSE,COUNTIF(Courses[DropdownCourse],Courses[[#This Row],[DropdownCourse]])&gt;1)</f>
        <v>0</v>
      </c>
      <c r="K10" s="18" t="str">
        <f>IF(ISBLANK(Courses[[#This Row],[Course Title]]),"",CONCATENATE(Courses[[#This Row],[Subject]]," ",Courses[[#This Row],[Cat '#]], ", ",Courses[[#This Row],[Course Title]]))</f>
        <v>Jurassic Studies 315, Aquatic Resources</v>
      </c>
    </row>
    <row r="11" spans="1:11" x14ac:dyDescent="0.25">
      <c r="A11" s="52" t="s">
        <v>36</v>
      </c>
      <c r="B11" s="52" t="s">
        <v>76</v>
      </c>
      <c r="C11" s="52" t="s">
        <v>83</v>
      </c>
      <c r="D11" s="53" t="s">
        <v>30</v>
      </c>
      <c r="E11" s="54" t="s">
        <v>68</v>
      </c>
      <c r="F11" s="53" t="s">
        <v>52</v>
      </c>
      <c r="G11" s="55">
        <v>72</v>
      </c>
      <c r="H11" s="56">
        <v>63</v>
      </c>
      <c r="I11" s="57">
        <v>60</v>
      </c>
      <c r="J11" s="18" t="b">
        <f>IF(ISBLANK(Courses[[#This Row],[Course Title]]),FALSE,COUNTIF(Courses[DropdownCourse],Courses[[#This Row],[DropdownCourse]])&gt;1)</f>
        <v>0</v>
      </c>
      <c r="K11" s="18" t="str">
        <f>IF(ISBLANK(Courses[[#This Row],[Course Title]]),"",CONCATENATE(Courses[[#This Row],[Subject]]," ",Courses[[#This Row],[Cat '#]], ", ",Courses[[#This Row],[Course Title]]))</f>
        <v>Jurassic Studies 316, Aquatic Lab</v>
      </c>
    </row>
    <row r="12" spans="1:11" x14ac:dyDescent="0.25">
      <c r="A12" s="52" t="s">
        <v>36</v>
      </c>
      <c r="B12" s="52" t="s">
        <v>77</v>
      </c>
      <c r="C12" s="52" t="s">
        <v>84</v>
      </c>
      <c r="D12" s="53" t="s">
        <v>30</v>
      </c>
      <c r="E12" s="54" t="s">
        <v>68</v>
      </c>
      <c r="F12" s="53"/>
      <c r="G12" s="55">
        <v>150</v>
      </c>
      <c r="H12" s="56"/>
      <c r="I12" s="57">
        <v>125</v>
      </c>
      <c r="J12" s="18" t="b">
        <f>IF(ISBLANK(Courses[[#This Row],[Course Title]]),FALSE,COUNTIF(Courses[DropdownCourse],Courses[[#This Row],[DropdownCourse]])&gt;1)</f>
        <v>0</v>
      </c>
      <c r="K12" s="18" t="str">
        <f>IF(ISBLANK(Courses[[#This Row],[Course Title]]),"",CONCATENATE(Courses[[#This Row],[Subject]]," ",Courses[[#This Row],[Cat '#]], ", ",Courses[[#This Row],[Course Title]]))</f>
        <v>Jurassic Studies 350, Raptors</v>
      </c>
    </row>
    <row r="13" spans="1:11" x14ac:dyDescent="0.25">
      <c r="A13" s="52" t="s">
        <v>36</v>
      </c>
      <c r="B13" s="52" t="s">
        <v>78</v>
      </c>
      <c r="C13" s="52" t="s">
        <v>85</v>
      </c>
      <c r="D13" s="53" t="s">
        <v>30</v>
      </c>
      <c r="E13" s="54" t="s">
        <v>68</v>
      </c>
      <c r="F13" s="53" t="s">
        <v>53</v>
      </c>
      <c r="G13" s="55">
        <v>270</v>
      </c>
      <c r="H13" s="56">
        <v>266</v>
      </c>
      <c r="I13" s="57">
        <v>260</v>
      </c>
      <c r="J13" s="18" t="b">
        <f>IF(ISBLANK(Courses[[#This Row],[Course Title]]),FALSE,COUNTIF(Courses[DropdownCourse],Courses[[#This Row],[DropdownCourse]])&gt;1)</f>
        <v>0</v>
      </c>
      <c r="K13" s="18" t="str">
        <f>IF(ISBLANK(Courses[[#This Row],[Course Title]]),"",CONCATENATE(Courses[[#This Row],[Subject]]," ",Courses[[#This Row],[Cat '#]], ", ",Courses[[#This Row],[Course Title]]))</f>
        <v>Jurassic Studies 360, Topics in Jurassic Studies</v>
      </c>
    </row>
    <row r="14" spans="1:11" x14ac:dyDescent="0.25">
      <c r="A14" s="52" t="s">
        <v>36</v>
      </c>
      <c r="B14" s="52" t="s">
        <v>79</v>
      </c>
      <c r="C14" s="52" t="s">
        <v>86</v>
      </c>
      <c r="D14" s="53" t="s">
        <v>30</v>
      </c>
      <c r="E14" s="54" t="s">
        <v>68</v>
      </c>
      <c r="F14" s="53" t="s">
        <v>54</v>
      </c>
      <c r="G14" s="55">
        <v>70</v>
      </c>
      <c r="H14" s="56">
        <v>70</v>
      </c>
      <c r="I14" s="57">
        <v>70</v>
      </c>
      <c r="J14" s="18" t="b">
        <f>IF(ISBLANK(Courses[[#This Row],[Course Title]]),FALSE,COUNTIF(Courses[DropdownCourse],Courses[[#This Row],[DropdownCourse]])&gt;1)</f>
        <v>0</v>
      </c>
      <c r="K14" s="18" t="str">
        <f>IF(ISBLANK(Courses[[#This Row],[Course Title]]),"",CONCATENATE(Courses[[#This Row],[Subject]]," ",Courses[[#This Row],[Cat '#]], ", ",Courses[[#This Row],[Course Title]]))</f>
        <v>Jurassic Studies 410, Intermediate Extinction</v>
      </c>
    </row>
    <row r="15" spans="1:11" x14ac:dyDescent="0.25">
      <c r="A15" s="70" t="str">
        <f>IF(COUNTIF(Courses[Duplicate],"TRUE")&gt;0,"Error: Duplicate course names","")</f>
        <v/>
      </c>
      <c r="B15" s="70"/>
      <c r="C15" s="70"/>
      <c r="D15" s="41"/>
      <c r="E15" s="41"/>
      <c r="F15" s="41"/>
      <c r="G15" s="70"/>
    </row>
    <row r="16" spans="1:11" ht="19.5" x14ac:dyDescent="0.3">
      <c r="A16" s="61" t="s">
        <v>87</v>
      </c>
      <c r="B16" s="61"/>
      <c r="C16" s="51"/>
      <c r="E16" s="2"/>
      <c r="F16" s="12"/>
    </row>
    <row r="17" spans="1:6" x14ac:dyDescent="0.25">
      <c r="A17" s="2" t="s">
        <v>7</v>
      </c>
      <c r="B17" s="2" t="s">
        <v>8</v>
      </c>
      <c r="E17" s="2"/>
      <c r="F17" s="12"/>
    </row>
    <row r="18" spans="1:6" x14ac:dyDescent="0.25">
      <c r="A18" s="2" t="s">
        <v>48</v>
      </c>
      <c r="B18" s="6" t="s">
        <v>38</v>
      </c>
      <c r="E18" s="2"/>
      <c r="F18" s="12"/>
    </row>
    <row r="19" spans="1:6" x14ac:dyDescent="0.25">
      <c r="A19" s="2" t="s">
        <v>29</v>
      </c>
      <c r="B19" s="6" t="s">
        <v>39</v>
      </c>
      <c r="E19" s="2"/>
      <c r="F19" s="12"/>
    </row>
    <row r="20" spans="1:6" x14ac:dyDescent="0.25">
      <c r="E20" s="2"/>
      <c r="F20" s="12"/>
    </row>
    <row r="21" spans="1:6" x14ac:dyDescent="0.25">
      <c r="E21" s="2"/>
      <c r="F21" s="12"/>
    </row>
    <row r="22" spans="1:6" x14ac:dyDescent="0.25">
      <c r="E22" s="2"/>
      <c r="F22" s="12"/>
    </row>
    <row r="23" spans="1:6" x14ac:dyDescent="0.25">
      <c r="E23" s="2"/>
      <c r="F23" s="12"/>
    </row>
    <row r="24" spans="1:6" x14ac:dyDescent="0.25">
      <c r="E24" s="2"/>
      <c r="F24" s="12"/>
    </row>
    <row r="25" spans="1:6" x14ac:dyDescent="0.25">
      <c r="E25" s="2"/>
      <c r="F25" s="12"/>
    </row>
    <row r="26" spans="1:6" x14ac:dyDescent="0.25">
      <c r="E26" s="2"/>
      <c r="F26" s="12"/>
    </row>
    <row r="27" spans="1:6" x14ac:dyDescent="0.25">
      <c r="E27" s="2"/>
      <c r="F27" s="12"/>
    </row>
  </sheetData>
  <mergeCells count="2">
    <mergeCell ref="A1:D1"/>
    <mergeCell ref="A16:B16"/>
  </mergeCells>
  <conditionalFormatting sqref="A15:C15">
    <cfRule type="notContainsBlanks" dxfId="23" priority="2">
      <formula>LEN(TRIM(A15))&gt;0</formula>
    </cfRule>
  </conditionalFormatting>
  <dataValidations count="6">
    <dataValidation allowBlank="1" showInputMessage="1" showErrorMessage="1" promptTitle="Planned Capacity" prompt="Enter the planned enrollment for the given semester. Leave blank if not offered." sqref="F8:G14"/>
    <dataValidation allowBlank="1" showInputMessage="1" showErrorMessage="1" promptTitle="Previous Enrollment" prompt="Enter enrollment for the given semester. Leave blank if not offered." sqref="H8:I14"/>
    <dataValidation type="list" allowBlank="1" showInputMessage="1" showErrorMessage="1" promptTitle="Instruction Mode" prompt="If sections with multiple instruction modes, add one row per mode." sqref="E8:E14">
      <formula1>"Classroom,Online only,Online (some classroom)"</formula1>
    </dataValidation>
    <dataValidation allowBlank="1" showInputMessage="1" showErrorMessage="1" promptTitle="UDDS" prompt="## = 'department' level of UDDS" sqref="B18:B19"/>
    <dataValidation allowBlank="1" showInputMessage="1" showErrorMessage="1" promptTitle="Course Title" prompt="Add topic if applicable" sqref="C8:C14"/>
    <dataValidation allowBlank="1" showInputMessage="1" showErrorMessage="1" promptTitle="Funding" prompt="Add rows or modify these values as needed." sqref="A18:A19"/>
  </dataValidations>
  <pageMargins left="0.25" right="0.25" top="0.75" bottom="0.75" header="0.3" footer="0.3"/>
  <pageSetup scale="65" fitToHeight="0" orientation="landscape" r:id="rId1"/>
  <headerFooter>
    <oddFooter>&amp;L&amp;D&amp;R&amp;Z&amp;F</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Normal="100" workbookViewId="0">
      <selection activeCell="A18" sqref="A18"/>
    </sheetView>
  </sheetViews>
  <sheetFormatPr defaultRowHeight="15" x14ac:dyDescent="0.25"/>
  <cols>
    <col min="1" max="1" width="39.28515625" style="46" customWidth="1"/>
    <col min="2" max="2" width="16.42578125" style="46" customWidth="1"/>
    <col min="3" max="3" width="19.85546875" style="46" customWidth="1"/>
    <col min="4" max="5" width="17.85546875" style="46" customWidth="1"/>
    <col min="6" max="6" width="18.5703125" style="46" bestFit="1" customWidth="1"/>
    <col min="7" max="7" width="17.85546875" style="46" customWidth="1"/>
    <col min="8" max="8" width="14.42578125" style="46" customWidth="1"/>
    <col min="9" max="9" width="7.28515625" style="46" hidden="1" customWidth="1"/>
    <col min="10" max="16384" width="9.140625" style="46"/>
  </cols>
  <sheetData>
    <row r="1" spans="1:9" ht="23.25" x14ac:dyDescent="0.35">
      <c r="A1" s="65" t="s">
        <v>55</v>
      </c>
      <c r="B1" s="65"/>
      <c r="C1" s="65"/>
      <c r="D1" s="65"/>
      <c r="E1" s="15"/>
      <c r="F1" s="66" t="str">
        <f ca="1">IF(TA[[#Totals],[Column1]]&lt;&gt;0,"Check for errors in course names","")</f>
        <v/>
      </c>
      <c r="G1" s="66"/>
    </row>
    <row r="2" spans="1:9" x14ac:dyDescent="0.25">
      <c r="A2" s="64" t="str">
        <f>IF(DeptName="","Enter department/center name on 'Dept Details worksheet",DeptName)</f>
        <v>Jurassic Studies</v>
      </c>
      <c r="B2" s="64"/>
      <c r="C2" s="64"/>
      <c r="D2" s="43"/>
      <c r="E2" s="43"/>
      <c r="F2" s="50"/>
      <c r="G2" s="50"/>
      <c r="H2" s="50"/>
    </row>
    <row r="3" spans="1:9" x14ac:dyDescent="0.25">
      <c r="A3" s="19" t="s">
        <v>34</v>
      </c>
      <c r="B3" s="20">
        <v>41000</v>
      </c>
      <c r="F3" s="50"/>
      <c r="G3" s="50"/>
      <c r="H3" s="50"/>
    </row>
    <row r="4" spans="1:9" x14ac:dyDescent="0.25">
      <c r="A4" s="47"/>
      <c r="F4" s="50"/>
      <c r="G4" s="50"/>
      <c r="H4" s="50"/>
    </row>
    <row r="5" spans="1:9" ht="19.5" x14ac:dyDescent="0.3">
      <c r="A5" s="62" t="s">
        <v>41</v>
      </c>
      <c r="B5" s="62"/>
      <c r="C5" s="62"/>
    </row>
    <row r="6" spans="1:9" x14ac:dyDescent="0.25">
      <c r="A6" s="63" t="s">
        <v>46</v>
      </c>
      <c r="B6" s="63"/>
      <c r="C6" s="63"/>
      <c r="D6" s="63"/>
      <c r="E6" s="63"/>
      <c r="F6" s="63"/>
      <c r="G6" s="63"/>
    </row>
    <row r="7" spans="1:9" x14ac:dyDescent="0.25">
      <c r="A7" s="2" t="s">
        <v>35</v>
      </c>
      <c r="B7" s="2" t="s">
        <v>19</v>
      </c>
      <c r="C7" s="2" t="s">
        <v>20</v>
      </c>
      <c r="D7" s="2" t="s">
        <v>6</v>
      </c>
      <c r="E7" s="2" t="s">
        <v>1</v>
      </c>
      <c r="F7" s="2" t="s">
        <v>10</v>
      </c>
      <c r="G7" s="2" t="s">
        <v>11</v>
      </c>
      <c r="H7" s="2" t="s">
        <v>59</v>
      </c>
      <c r="I7" s="58" t="s">
        <v>95</v>
      </c>
    </row>
    <row r="8" spans="1:9" x14ac:dyDescent="0.25">
      <c r="A8" s="33" t="s">
        <v>88</v>
      </c>
      <c r="B8" s="2">
        <v>3</v>
      </c>
      <c r="C8" s="32" t="s">
        <v>32</v>
      </c>
      <c r="D8" s="14" t="s">
        <v>48</v>
      </c>
      <c r="E8" s="14" t="s">
        <v>12</v>
      </c>
      <c r="F8" s="5">
        <v>0.5</v>
      </c>
      <c r="G8" s="21">
        <f>(TARate*TA[Appt %]*SUMIF(Calc[Timeframe],TA[Timeframe],Calc[Salary Calc]))*TA[[#This Row],['# of TA''s]]</f>
        <v>30750</v>
      </c>
      <c r="H8" s="48">
        <f>IF(TA[[#This Row],[Est. Salary]]="","",TA[[#This Row],[Est. Salary]]/TARate)</f>
        <v>0.75</v>
      </c>
      <c r="I8" s="59">
        <f ca="1">IF(ISBLANK(TA[[#This Row],[Course]]),1,COUNTIF(DropCourse,TA[[#This Row],[Course]]))</f>
        <v>1</v>
      </c>
    </row>
    <row r="9" spans="1:9" x14ac:dyDescent="0.25">
      <c r="A9" s="29" t="s">
        <v>88</v>
      </c>
      <c r="B9" s="13">
        <v>1</v>
      </c>
      <c r="C9" s="8" t="s">
        <v>43</v>
      </c>
      <c r="D9" s="14" t="s">
        <v>48</v>
      </c>
      <c r="E9" s="4" t="s">
        <v>12</v>
      </c>
      <c r="F9" s="5">
        <v>0.5</v>
      </c>
      <c r="G9" s="21">
        <f>(TARate*TA[Appt %]*SUMIF(Calc[Timeframe],TA[Timeframe],Calc[Salary Calc]))*TA[[#This Row],['# of TA''s]]</f>
        <v>10250</v>
      </c>
      <c r="H9" s="48">
        <f>IF(TA[[#This Row],[Est. Salary]]="","",TA[[#This Row],[Est. Salary]]/TARate)</f>
        <v>0.25</v>
      </c>
      <c r="I9" s="59">
        <f ca="1">IF(ISBLANK(TA[[#This Row],[Course]]),1,COUNTIF(DropCourse,TA[[#This Row],[Course]]))</f>
        <v>1</v>
      </c>
    </row>
    <row r="10" spans="1:9" x14ac:dyDescent="0.25">
      <c r="A10" s="33" t="s">
        <v>89</v>
      </c>
      <c r="B10" s="2">
        <v>7</v>
      </c>
      <c r="C10" s="32" t="s">
        <v>45</v>
      </c>
      <c r="D10" s="14" t="s">
        <v>48</v>
      </c>
      <c r="E10" s="14" t="s">
        <v>12</v>
      </c>
      <c r="F10" s="5">
        <v>0.5</v>
      </c>
      <c r="G10" s="21">
        <f>(TARate*TA[Appt %]*SUMIF(Calc[Timeframe],TA[Timeframe],Calc[Salary Calc]))*TA[[#This Row],['# of TA''s]]</f>
        <v>71750</v>
      </c>
      <c r="H10" s="48">
        <f>IF(TA[[#This Row],[Est. Salary]]="","",TA[[#This Row],[Est. Salary]]/TARate)</f>
        <v>1.75</v>
      </c>
      <c r="I10" s="59">
        <f ca="1">IF(ISBLANK(TA[[#This Row],[Course]]),1,COUNTIF(DropCourse,TA[[#This Row],[Course]]))</f>
        <v>1</v>
      </c>
    </row>
    <row r="11" spans="1:9" x14ac:dyDescent="0.25">
      <c r="A11" s="33" t="s">
        <v>89</v>
      </c>
      <c r="B11" s="13">
        <v>2</v>
      </c>
      <c r="C11" s="8" t="s">
        <v>44</v>
      </c>
      <c r="D11" s="14" t="s">
        <v>48</v>
      </c>
      <c r="E11" s="4" t="s">
        <v>12</v>
      </c>
      <c r="F11" s="5">
        <v>0.375</v>
      </c>
      <c r="G11" s="21">
        <f>(TARate*TA[Appt %]*SUMIF(Calc[Timeframe],TA[Timeframe],Calc[Salary Calc]))*TA[[#This Row],['# of TA''s]]</f>
        <v>15375</v>
      </c>
      <c r="H11" s="48">
        <f>IF(TA[[#This Row],[Est. Salary]]="","",TA[[#This Row],[Est. Salary]]/TARate)</f>
        <v>0.375</v>
      </c>
      <c r="I11" s="59">
        <f ca="1">IF(ISBLANK(TA[[#This Row],[Course]]),1,COUNTIF(DropCourse,TA[[#This Row],[Course]]))</f>
        <v>1</v>
      </c>
    </row>
    <row r="12" spans="1:9" x14ac:dyDescent="0.25">
      <c r="A12" s="33" t="s">
        <v>90</v>
      </c>
      <c r="B12" s="13">
        <v>1</v>
      </c>
      <c r="C12" s="8" t="s">
        <v>33</v>
      </c>
      <c r="D12" s="14" t="s">
        <v>29</v>
      </c>
      <c r="E12" s="4" t="s">
        <v>12</v>
      </c>
      <c r="F12" s="5">
        <v>0.5</v>
      </c>
      <c r="G12" s="17">
        <f>(TARate*TA[Appt %]*SUMIF(Calc[Timeframe],TA[Timeframe],Calc[Salary Calc]))*TA[[#This Row],['# of TA''s]]</f>
        <v>10250</v>
      </c>
      <c r="H12" s="48">
        <f>IF(TA[[#This Row],[Est. Salary]]="","",TA[[#This Row],[Est. Salary]]/TARate)</f>
        <v>0.25</v>
      </c>
      <c r="I12" s="59">
        <f ca="1">IF(ISBLANK(TA[[#This Row],[Course]]),1,COUNTIF(DropCourse,TA[[#This Row],[Course]]))</f>
        <v>1</v>
      </c>
    </row>
    <row r="13" spans="1:9" x14ac:dyDescent="0.25">
      <c r="A13" s="29" t="s">
        <v>91</v>
      </c>
      <c r="B13" s="13">
        <v>1</v>
      </c>
      <c r="C13" s="8" t="s">
        <v>33</v>
      </c>
      <c r="D13" s="14" t="s">
        <v>48</v>
      </c>
      <c r="E13" s="4" t="s">
        <v>12</v>
      </c>
      <c r="F13" s="5">
        <v>0.33400000000000002</v>
      </c>
      <c r="G13" s="21">
        <f>(TARate*TA[Appt %]*SUMIF(Calc[Timeframe],TA[Timeframe],Calc[Salary Calc]))*TA[[#This Row],['# of TA''s]]</f>
        <v>6847</v>
      </c>
      <c r="H13" s="48">
        <f>IF(TA[[#This Row],[Est. Salary]]="","",TA[[#This Row],[Est. Salary]]/TARate)</f>
        <v>0.16700000000000001</v>
      </c>
      <c r="I13" s="59">
        <f ca="1">IF(ISBLANK(TA[[#This Row],[Course]]),1,COUNTIF(DropCourse,TA[[#This Row],[Course]]))</f>
        <v>1</v>
      </c>
    </row>
    <row r="14" spans="1:9" x14ac:dyDescent="0.25">
      <c r="A14" s="29" t="s">
        <v>92</v>
      </c>
      <c r="B14" s="13">
        <v>1</v>
      </c>
      <c r="C14" s="8" t="s">
        <v>33</v>
      </c>
      <c r="D14" s="14" t="s">
        <v>48</v>
      </c>
      <c r="E14" s="4" t="s">
        <v>12</v>
      </c>
      <c r="F14" s="5">
        <v>0.33400000000000002</v>
      </c>
      <c r="G14" s="21">
        <f>(TARate*TA[Appt %]*SUMIF(Calc[Timeframe],TA[Timeframe],Calc[Salary Calc]))*TA[[#This Row],['# of TA''s]]</f>
        <v>6847</v>
      </c>
      <c r="H14" s="48">
        <f>IF(TA[[#This Row],[Est. Salary]]="","",TA[[#This Row],[Est. Salary]]/TARate)</f>
        <v>0.16700000000000001</v>
      </c>
      <c r="I14" s="59">
        <f ca="1">IF(ISBLANK(TA[[#This Row],[Course]]),1,COUNTIF(DropCourse,TA[[#This Row],[Course]]))</f>
        <v>1</v>
      </c>
    </row>
    <row r="15" spans="1:9" x14ac:dyDescent="0.25">
      <c r="A15" s="29" t="s">
        <v>90</v>
      </c>
      <c r="B15" s="13">
        <v>1</v>
      </c>
      <c r="C15" s="8" t="s">
        <v>33</v>
      </c>
      <c r="D15" s="14" t="s">
        <v>48</v>
      </c>
      <c r="E15" s="4" t="s">
        <v>13</v>
      </c>
      <c r="F15" s="5">
        <v>0.33400000000000002</v>
      </c>
      <c r="G15" s="21">
        <f>(TARate*TA[Appt %]*SUMIF(Calc[Timeframe],TA[Timeframe],Calc[Salary Calc]))*TA[[#This Row],['# of TA''s]]</f>
        <v>6847</v>
      </c>
      <c r="H15" s="48">
        <f>IF(TA[[#This Row],[Est. Salary]]="","",TA[[#This Row],[Est. Salary]]/TARate)</f>
        <v>0.16700000000000001</v>
      </c>
      <c r="I15" s="59">
        <f ca="1">IF(ISBLANK(TA[[#This Row],[Course]]),1,COUNTIF(DropCourse,TA[[#This Row],[Course]]))</f>
        <v>1</v>
      </c>
    </row>
    <row r="16" spans="1:9" x14ac:dyDescent="0.25">
      <c r="A16" s="29" t="s">
        <v>93</v>
      </c>
      <c r="B16" s="13">
        <v>1</v>
      </c>
      <c r="C16" s="8" t="s">
        <v>33</v>
      </c>
      <c r="D16" s="14" t="s">
        <v>48</v>
      </c>
      <c r="E16" s="4" t="s">
        <v>12</v>
      </c>
      <c r="F16" s="5">
        <v>0.33400000000000002</v>
      </c>
      <c r="G16" s="21">
        <f>(TARate*TA[Appt %]*SUMIF(Calc[Timeframe],TA[Timeframe],Calc[Salary Calc]))*TA[[#This Row],['# of TA''s]]</f>
        <v>6847</v>
      </c>
      <c r="H16" s="48">
        <f>IF(TA[[#This Row],[Est. Salary]]="","",TA[[#This Row],[Est. Salary]]/TARate)</f>
        <v>0.16700000000000001</v>
      </c>
      <c r="I16" s="59">
        <f ca="1">IF(ISBLANK(TA[[#This Row],[Course]]),1,COUNTIF(DropCourse,TA[[#This Row],[Course]]))</f>
        <v>1</v>
      </c>
    </row>
    <row r="17" spans="1:9" x14ac:dyDescent="0.25">
      <c r="A17" s="29" t="s">
        <v>94</v>
      </c>
      <c r="B17" s="13">
        <v>1</v>
      </c>
      <c r="C17" s="8" t="s">
        <v>33</v>
      </c>
      <c r="D17" s="14" t="s">
        <v>48</v>
      </c>
      <c r="E17" s="4" t="s">
        <v>12</v>
      </c>
      <c r="F17" s="5">
        <v>0.33400000000000002</v>
      </c>
      <c r="G17" s="21">
        <f>(TARate*TA[Appt %]*SUMIF(Calc[Timeframe],TA[Timeframe],Calc[Salary Calc]))*TA[[#This Row],['# of TA''s]]</f>
        <v>6847</v>
      </c>
      <c r="H17" s="48">
        <f>IF(TA[[#This Row],[Est. Salary]]="","",TA[[#This Row],[Est. Salary]]/TARate)</f>
        <v>0.16700000000000001</v>
      </c>
      <c r="I17" s="59">
        <f ca="1">IF(ISBLANK(TA[[#This Row],[Course]]),1,COUNTIF(DropCourse,TA[[#This Row],[Course]]))</f>
        <v>1</v>
      </c>
    </row>
    <row r="18" spans="1:9" x14ac:dyDescent="0.25">
      <c r="A18" s="49"/>
      <c r="B18" s="13">
        <f>SUBTOTAL(109,TA['# of TA''s])</f>
        <v>19</v>
      </c>
      <c r="C18" s="49"/>
      <c r="D18" s="2"/>
      <c r="E18" s="2"/>
      <c r="F18" s="2"/>
      <c r="G18" s="44">
        <f>SUBTOTAL(109,TA[Est. Salary])</f>
        <v>172610</v>
      </c>
      <c r="H18" s="45">
        <f>SUBTOTAL(109,TA[FTE])</f>
        <v>4.2099999999999991</v>
      </c>
      <c r="I18" s="2">
        <f ca="1">COUNTA(TA[Column1])-SUM(TA[Column1])</f>
        <v>0</v>
      </c>
    </row>
    <row r="19" spans="1:9" ht="19.5" x14ac:dyDescent="0.3">
      <c r="A19" s="62" t="s">
        <v>42</v>
      </c>
      <c r="B19" s="62"/>
    </row>
    <row r="20" spans="1:9" x14ac:dyDescent="0.25">
      <c r="A20" s="2" t="s">
        <v>9</v>
      </c>
      <c r="B20" s="2" t="s">
        <v>21</v>
      </c>
      <c r="C20" s="2" t="s">
        <v>6</v>
      </c>
      <c r="D20" s="2" t="s">
        <v>1</v>
      </c>
      <c r="E20" s="2" t="s">
        <v>47</v>
      </c>
    </row>
    <row r="21" spans="1:9" x14ac:dyDescent="0.25">
      <c r="A21" s="33" t="s">
        <v>91</v>
      </c>
      <c r="B21" s="13">
        <v>60</v>
      </c>
      <c r="C21" s="14" t="s">
        <v>48</v>
      </c>
      <c r="D21" s="4" t="s">
        <v>12</v>
      </c>
      <c r="E21" s="17">
        <f>IF(Reader[[#This Row],[Course Number &amp; Title]]="","",Reader[[#This Row],[Hours]]*21.57)</f>
        <v>1294.2</v>
      </c>
    </row>
    <row r="22" spans="1:9" x14ac:dyDescent="0.25">
      <c r="B22" s="13">
        <f>SUBTOTAL(109,Reader[Hours])</f>
        <v>60</v>
      </c>
      <c r="C22" s="2"/>
      <c r="D22" s="2"/>
      <c r="E22" s="30">
        <f>SUBTOTAL(109,Reader[Est. Salary ($21.57/hr)])</f>
        <v>1294.2</v>
      </c>
    </row>
  </sheetData>
  <dataConsolidate/>
  <mergeCells count="6">
    <mergeCell ref="A5:C5"/>
    <mergeCell ref="A19:B19"/>
    <mergeCell ref="A6:G6"/>
    <mergeCell ref="A2:C2"/>
    <mergeCell ref="A1:D1"/>
    <mergeCell ref="F1:G1"/>
  </mergeCells>
  <conditionalFormatting sqref="F2:H4">
    <cfRule type="notContainsBlanks" dxfId="22" priority="4">
      <formula>LEN(TRIM(F2))&gt;0</formula>
    </cfRule>
  </conditionalFormatting>
  <conditionalFormatting sqref="A8:A17">
    <cfRule type="containsBlanks" dxfId="21" priority="2">
      <formula>LEN(TRIM(A8))=0</formula>
    </cfRule>
    <cfRule type="expression" dxfId="20" priority="5">
      <formula>COUNTIF(DropCourse,A8)=0</formula>
    </cfRule>
  </conditionalFormatting>
  <dataValidations count="7">
    <dataValidation type="list" allowBlank="1" showErrorMessage="1" errorTitle="Funding" error="Please update this field to match one of the available funds on the 'Funding Details' worksheet (under the 'Fund Name' column)." promptTitle="Funding" prompt="Please update this field to match one of the available funds on the 'Funding Details' worksheet (under the 'Fund Name' column)." sqref="C21">
      <formula1>DropFund</formula1>
    </dataValidation>
    <dataValidation type="list" allowBlank="1" showInputMessage="1" showErrorMessage="1" sqref="A21">
      <formula1>DropCourse</formula1>
    </dataValidation>
    <dataValidation type="list" allowBlank="1" showInputMessage="1" showErrorMessage="1" sqref="E8:E17 D21">
      <formula1>INDIRECT("calc[timeframe]")</formula1>
    </dataValidation>
    <dataValidation allowBlank="1" showInputMessage="1" showErrorMessage="1" promptTitle="Notes" prompt="Add comments to 'Notes' tab if changing appointment structure." sqref="C8:C17"/>
    <dataValidation allowBlank="1" showInputMessage="1" showErrorMessage="1" promptTitle="Do not modify" prompt="Do not modify" sqref="E21 G8:I17"/>
    <dataValidation type="list" allowBlank="1" showInputMessage="1" showErrorMessage="1" promptTitle="Course" prompt="Select from drop down. Add courses to 'Dept Details' page as needed." sqref="A8:A17">
      <formula1>DropCourse</formula1>
    </dataValidation>
    <dataValidation type="list" allowBlank="1" showInputMessage="1" showErrorMessage="1" errorTitle="Funding" error="Please update this field to match one of the available funds on the 'Funding Details' worksheet (under the 'Fund Name' column)." promptTitle="Funding" prompt="Choose funding from drop down. Add sources to the 'Funding' table on the 'Dept Details' page as needed." sqref="D8:D17">
      <formula1>DropFund</formula1>
    </dataValidation>
  </dataValidations>
  <pageMargins left="0.25" right="0.25" top="0.75" bottom="0.75" header="0.3" footer="0.3"/>
  <pageSetup scale="82" fitToHeight="0" orientation="landscape" r:id="rId1"/>
  <headerFooter>
    <oddFooter>&amp;L&amp;D&amp;R&amp;Z&amp;F</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zoomScaleNormal="100" workbookViewId="0">
      <selection activeCell="B17" sqref="B17"/>
    </sheetView>
  </sheetViews>
  <sheetFormatPr defaultRowHeight="15" x14ac:dyDescent="0.25"/>
  <cols>
    <col min="1" max="1" width="30" bestFit="1" customWidth="1"/>
    <col min="2" max="2" width="103.85546875" customWidth="1"/>
  </cols>
  <sheetData>
    <row r="1" spans="1:6" ht="23.25" x14ac:dyDescent="0.35">
      <c r="A1" s="67" t="s">
        <v>56</v>
      </c>
      <c r="B1" s="67"/>
    </row>
    <row r="2" spans="1:6" x14ac:dyDescent="0.25">
      <c r="A2" s="64" t="str">
        <f>IF(DeptName="","Enter department/center name on 'Dept Details worksheet",DeptName)</f>
        <v>Jurassic Studies</v>
      </c>
      <c r="B2" s="64"/>
      <c r="C2" s="31"/>
      <c r="D2" s="31"/>
      <c r="E2" s="31"/>
      <c r="F2" s="31"/>
    </row>
    <row r="3" spans="1:6" x14ac:dyDescent="0.25">
      <c r="A3" s="68" t="s">
        <v>65</v>
      </c>
      <c r="B3" s="68"/>
    </row>
    <row r="4" spans="1:6" x14ac:dyDescent="0.25">
      <c r="A4" s="2" t="s">
        <v>9</v>
      </c>
      <c r="B4" s="2" t="s">
        <v>17</v>
      </c>
    </row>
    <row r="5" spans="1:6" ht="38.25" x14ac:dyDescent="0.25">
      <c r="A5" s="10" t="s">
        <v>89</v>
      </c>
      <c r="B5" s="9" t="s">
        <v>40</v>
      </c>
    </row>
    <row r="6" spans="1:6" x14ac:dyDescent="0.25">
      <c r="A6" s="10"/>
      <c r="B6" s="9"/>
    </row>
    <row r="7" spans="1:6" x14ac:dyDescent="0.25">
      <c r="A7" s="10"/>
      <c r="B7" s="9"/>
    </row>
    <row r="8" spans="1:6" x14ac:dyDescent="0.25">
      <c r="A8" s="10"/>
      <c r="B8" s="9"/>
    </row>
    <row r="9" spans="1:6" x14ac:dyDescent="0.25">
      <c r="A9" s="10"/>
      <c r="B9" s="9"/>
    </row>
  </sheetData>
  <mergeCells count="3">
    <mergeCell ref="A2:B2"/>
    <mergeCell ref="A1:B1"/>
    <mergeCell ref="A3:B3"/>
  </mergeCells>
  <dataValidations count="1">
    <dataValidation type="list" allowBlank="1" showInputMessage="1" showErrorMessage="1" sqref="A5:A9">
      <formula1>DropCourse</formula1>
    </dataValidation>
  </dataValidations>
  <pageMargins left="0.25" right="0.25" top="0.75" bottom="0.75" header="0.3" footer="0.3"/>
  <pageSetup fitToHeight="0" orientation="landscape" r:id="rId1"/>
  <headerFooter>
    <oddFooter>&amp;L&amp;D&amp;R&amp;Z&amp;F</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RowColHeaders="0" zoomScaleNormal="100" workbookViewId="0">
      <selection activeCell="D26" sqref="D26:D27"/>
    </sheetView>
  </sheetViews>
  <sheetFormatPr defaultRowHeight="15" x14ac:dyDescent="0.25"/>
  <cols>
    <col min="1" max="1" width="43.5703125" bestFit="1" customWidth="1"/>
    <col min="2" max="2" width="14.42578125" bestFit="1" customWidth="1"/>
    <col min="3" max="3" width="13.7109375" bestFit="1" customWidth="1"/>
    <col min="4" max="4" width="17.85546875" bestFit="1" customWidth="1"/>
    <col min="5" max="5" width="16" bestFit="1" customWidth="1"/>
  </cols>
  <sheetData>
    <row r="1" spans="1:7" ht="21" x14ac:dyDescent="0.35">
      <c r="A1" s="69" t="s">
        <v>57</v>
      </c>
      <c r="B1" s="69"/>
      <c r="C1" s="69"/>
      <c r="D1" s="69"/>
    </row>
    <row r="2" spans="1:7" x14ac:dyDescent="0.25">
      <c r="A2" s="43" t="str">
        <f>IF(DeptName="","Enter department/center name on 'Dept Details worksheet",DeptName &amp; " (no entry on this page)")</f>
        <v>Jurassic Studies (no entry on this page)</v>
      </c>
      <c r="B2" s="31"/>
      <c r="C2" s="31"/>
      <c r="D2" s="31"/>
      <c r="E2" s="31"/>
      <c r="F2" s="31"/>
      <c r="G2" s="31"/>
    </row>
    <row r="3" spans="1:7" x14ac:dyDescent="0.25">
      <c r="A3" s="22" t="s">
        <v>35</v>
      </c>
      <c r="B3" s="22" t="s">
        <v>26</v>
      </c>
      <c r="C3" s="22" t="s">
        <v>60</v>
      </c>
      <c r="D3" s="22" t="s">
        <v>27</v>
      </c>
      <c r="E3" s="22" t="s">
        <v>28</v>
      </c>
    </row>
    <row r="4" spans="1:7" x14ac:dyDescent="0.25">
      <c r="A4" s="23" t="str">
        <f>IFERROR(INDEX(Courses[DropdownCourse],ROW()-3,1),"")</f>
        <v>Jurassic Studies 101, Biology</v>
      </c>
      <c r="B4" s="24">
        <f>SUMIF(TA[Course],Summary[[#This Row],[Course]],TA[Est. Salary])</f>
        <v>41000</v>
      </c>
      <c r="C4" s="38">
        <f>IF(Summary[[#This Row],[TA Estimate]]=0,"",Summary[[#This Row],[TA Estimate]]/TARate)</f>
        <v>1</v>
      </c>
      <c r="D4" s="24">
        <f>SUMIF(Reader[Course Number &amp; Title],Summary[[#This Row],[Course]],Reader[Est. Salary ($21.57/hr)])</f>
        <v>0</v>
      </c>
      <c r="E4" s="24">
        <f>Summary[[#This Row],[TA Estimate]]+Summary[[#This Row],[Reader Estimate]]</f>
        <v>41000</v>
      </c>
    </row>
    <row r="5" spans="1:7" x14ac:dyDescent="0.25">
      <c r="A5" s="23" t="str">
        <f>IFERROR(INDEX(Courses[DropdownCourse],ROW()-3,1),"")</f>
        <v>Jurassic Studies 102, Biology Lab</v>
      </c>
      <c r="B5" s="24">
        <f>SUMIF(TA[Course],Summary[[#This Row],[Course]],TA[Est. Salary])</f>
        <v>87125</v>
      </c>
      <c r="C5" s="38">
        <f>IF(Summary[[#This Row],[TA Estimate]]=0,"",Summary[[#This Row],[TA Estimate]]/TARate)</f>
        <v>2.125</v>
      </c>
      <c r="D5" s="25">
        <f>SUMIF(Reader[Course Number &amp; Title],Summary[[#This Row],[Course]],Reader[Est. Salary ($21.57/hr)])</f>
        <v>0</v>
      </c>
      <c r="E5" s="24">
        <f>Summary[[#This Row],[TA Estimate]]+Summary[[#This Row],[Reader Estimate]]</f>
        <v>87125</v>
      </c>
    </row>
    <row r="6" spans="1:7" x14ac:dyDescent="0.25">
      <c r="A6" s="23" t="str">
        <f>IFERROR(INDEX(Courses[DropdownCourse],ROW()-3,1),"")</f>
        <v>Jurassic Studies 315, Aquatic Resources</v>
      </c>
      <c r="B6" s="24">
        <f>SUMIF(TA[Course],Summary[[#This Row],[Course]],TA[Est. Salary])</f>
        <v>6847</v>
      </c>
      <c r="C6" s="38">
        <f>IF(Summary[[#This Row],[TA Estimate]]=0,"",Summary[[#This Row],[TA Estimate]]/TARate)</f>
        <v>0.16700000000000001</v>
      </c>
      <c r="D6" s="25">
        <f>SUMIF(Reader[Course Number &amp; Title],Summary[[#This Row],[Course]],Reader[Est. Salary ($21.57/hr)])</f>
        <v>1294.2</v>
      </c>
      <c r="E6" s="24">
        <f>Summary[[#This Row],[TA Estimate]]+Summary[[#This Row],[Reader Estimate]]</f>
        <v>8141.2</v>
      </c>
    </row>
    <row r="7" spans="1:7" x14ac:dyDescent="0.25">
      <c r="A7" s="23" t="str">
        <f>IFERROR(INDEX(Courses[DropdownCourse],ROW()-3,1),"")</f>
        <v>Jurassic Studies 316, Aquatic Lab</v>
      </c>
      <c r="B7" s="24">
        <f>SUMIF(TA[Course],Summary[[#This Row],[Course]],TA[Est. Salary])</f>
        <v>6847</v>
      </c>
      <c r="C7" s="38">
        <f>IF(Summary[[#This Row],[TA Estimate]]=0,"",Summary[[#This Row],[TA Estimate]]/TARate)</f>
        <v>0.16700000000000001</v>
      </c>
      <c r="D7" s="25">
        <f>SUMIF(Reader[Course Number &amp; Title],Summary[[#This Row],[Course]],Reader[Est. Salary ($21.57/hr)])</f>
        <v>0</v>
      </c>
      <c r="E7" s="24">
        <f>Summary[[#This Row],[TA Estimate]]+Summary[[#This Row],[Reader Estimate]]</f>
        <v>6847</v>
      </c>
    </row>
    <row r="8" spans="1:7" x14ac:dyDescent="0.25">
      <c r="A8" s="23" t="str">
        <f>IFERROR(INDEX(Courses[DropdownCourse],ROW()-3,1),"")</f>
        <v>Jurassic Studies 350, Raptors</v>
      </c>
      <c r="B8" s="24">
        <f>SUMIF(TA[Course],Summary[[#This Row],[Course]],TA[Est. Salary])</f>
        <v>17097</v>
      </c>
      <c r="C8" s="38">
        <f>IF(Summary[[#This Row],[TA Estimate]]=0,"",Summary[[#This Row],[TA Estimate]]/TARate)</f>
        <v>0.41699999999999998</v>
      </c>
      <c r="D8" s="25">
        <f>SUMIF(Reader[Course Number &amp; Title],Summary[[#This Row],[Course]],Reader[Est. Salary ($21.57/hr)])</f>
        <v>0</v>
      </c>
      <c r="E8" s="24">
        <f>Summary[[#This Row],[TA Estimate]]+Summary[[#This Row],[Reader Estimate]]</f>
        <v>17097</v>
      </c>
    </row>
    <row r="9" spans="1:7" x14ac:dyDescent="0.25">
      <c r="A9" s="23" t="str">
        <f>IFERROR(INDEX(Courses[DropdownCourse],ROW()-3,1),"")</f>
        <v>Jurassic Studies 360, Topics in Jurassic Studies</v>
      </c>
      <c r="B9" s="24">
        <f>SUMIF(TA[Course],Summary[[#This Row],[Course]],TA[Est. Salary])</f>
        <v>6847</v>
      </c>
      <c r="C9" s="38">
        <f>IF(Summary[[#This Row],[TA Estimate]]=0,"",Summary[[#This Row],[TA Estimate]]/TARate)</f>
        <v>0.16700000000000001</v>
      </c>
      <c r="D9" s="25">
        <f>SUMIF(Reader[Course Number &amp; Title],Summary[[#This Row],[Course]],Reader[Est. Salary ($21.57/hr)])</f>
        <v>0</v>
      </c>
      <c r="E9" s="24">
        <f>Summary[[#This Row],[TA Estimate]]+Summary[[#This Row],[Reader Estimate]]</f>
        <v>6847</v>
      </c>
    </row>
    <row r="10" spans="1:7" x14ac:dyDescent="0.25">
      <c r="A10" s="23" t="str">
        <f>IFERROR(INDEX(Courses[DropdownCourse],ROW()-3,1),"")</f>
        <v>Jurassic Studies 410, Intermediate Extinction</v>
      </c>
      <c r="B10" s="24">
        <f>SUMIF(TA[Course],Summary[[#This Row],[Course]],TA[Est. Salary])</f>
        <v>6847</v>
      </c>
      <c r="C10" s="38">
        <f>IF(Summary[[#This Row],[TA Estimate]]=0,"",Summary[[#This Row],[TA Estimate]]/TARate)</f>
        <v>0.16700000000000001</v>
      </c>
      <c r="D10" s="25">
        <f>SUMIF(Reader[Course Number &amp; Title],Summary[[#This Row],[Course]],Reader[Est. Salary ($21.57/hr)])</f>
        <v>0</v>
      </c>
      <c r="E10" s="24">
        <f>Summary[[#This Row],[TA Estimate]]+Summary[[#This Row],[Reader Estimate]]</f>
        <v>6847</v>
      </c>
    </row>
    <row r="11" spans="1:7" x14ac:dyDescent="0.25">
      <c r="A11" s="23" t="str">
        <f>IFERROR(INDEX(Courses[DropdownCourse],ROW()-3,1),"")</f>
        <v/>
      </c>
      <c r="B11" s="24">
        <f>SUMIF(TA[Course],Summary[[#This Row],[Course]],TA[Est. Salary])</f>
        <v>0</v>
      </c>
      <c r="C11" s="38" t="str">
        <f>IF(Summary[[#This Row],[TA Estimate]]=0,"",Summary[[#This Row],[TA Estimate]]/TARate)</f>
        <v/>
      </c>
      <c r="D11" s="25">
        <f>SUMIF(Reader[Course Number &amp; Title],Summary[[#This Row],[Course]],Reader[Est. Salary ($21.57/hr)])</f>
        <v>0</v>
      </c>
      <c r="E11" s="24">
        <f>Summary[[#This Row],[TA Estimate]]+Summary[[#This Row],[Reader Estimate]]</f>
        <v>0</v>
      </c>
    </row>
    <row r="12" spans="1:7" x14ac:dyDescent="0.25">
      <c r="A12" s="23" t="str">
        <f>IFERROR(INDEX(Courses[DropdownCourse],ROW()-3,1),"")</f>
        <v/>
      </c>
      <c r="B12" s="24">
        <f>SUMIF(TA[Course],Summary[[#This Row],[Course]],TA[Est. Salary])</f>
        <v>0</v>
      </c>
      <c r="C12" s="38" t="str">
        <f>IF(Summary[[#This Row],[TA Estimate]]=0,"",Summary[[#This Row],[TA Estimate]]/TARate)</f>
        <v/>
      </c>
      <c r="D12" s="25">
        <f>SUMIF(Reader[Course Number &amp; Title],Summary[[#This Row],[Course]],Reader[Est. Salary ($21.57/hr)])</f>
        <v>0</v>
      </c>
      <c r="E12" s="24">
        <f>Summary[[#This Row],[TA Estimate]]+Summary[[#This Row],[Reader Estimate]]</f>
        <v>0</v>
      </c>
    </row>
    <row r="13" spans="1:7" x14ac:dyDescent="0.25">
      <c r="A13" s="23" t="str">
        <f>IFERROR(INDEX(Courses[DropdownCourse],ROW()-3,1),"")</f>
        <v/>
      </c>
      <c r="B13" s="24">
        <f>SUMIF(TA[Course],Summary[[#This Row],[Course]],TA[Est. Salary])</f>
        <v>0</v>
      </c>
      <c r="C13" s="38" t="str">
        <f>IF(Summary[[#This Row],[TA Estimate]]=0,"",Summary[[#This Row],[TA Estimate]]/TARate)</f>
        <v/>
      </c>
      <c r="D13" s="25">
        <f>SUMIF(Reader[Course Number &amp; Title],Summary[[#This Row],[Course]],Reader[Est. Salary ($21.57/hr)])</f>
        <v>0</v>
      </c>
      <c r="E13" s="24">
        <f>Summary[[#This Row],[TA Estimate]]+Summary[[#This Row],[Reader Estimate]]</f>
        <v>0</v>
      </c>
    </row>
    <row r="14" spans="1:7" x14ac:dyDescent="0.25">
      <c r="A14" s="23" t="str">
        <f>IFERROR(INDEX(Courses[DropdownCourse],ROW()-3,1),"")</f>
        <v/>
      </c>
      <c r="B14" s="24">
        <f>SUMIF(TA[Course],Summary[[#This Row],[Course]],TA[Est. Salary])</f>
        <v>0</v>
      </c>
      <c r="C14" s="38" t="str">
        <f>IF(Summary[[#This Row],[TA Estimate]]=0,"",Summary[[#This Row],[TA Estimate]]/TARate)</f>
        <v/>
      </c>
      <c r="D14" s="25">
        <f>SUMIF(Reader[Course Number &amp; Title],Summary[[#This Row],[Course]],Reader[Est. Salary ($21.57/hr)])</f>
        <v>0</v>
      </c>
      <c r="E14" s="24">
        <f>Summary[[#This Row],[TA Estimate]]+Summary[[#This Row],[Reader Estimate]]</f>
        <v>0</v>
      </c>
    </row>
    <row r="15" spans="1:7" x14ac:dyDescent="0.25">
      <c r="A15" s="23" t="str">
        <f>IFERROR(INDEX(Courses[DropdownCourse],ROW()-3,1),"")</f>
        <v/>
      </c>
      <c r="B15" s="24">
        <f>SUMIF(TA[Course],Summary[[#This Row],[Course]],TA[Est. Salary])</f>
        <v>0</v>
      </c>
      <c r="C15" s="38" t="str">
        <f>IF(Summary[[#This Row],[TA Estimate]]=0,"",Summary[[#This Row],[TA Estimate]]/TARate)</f>
        <v/>
      </c>
      <c r="D15" s="25">
        <f>SUMIF(Reader[Course Number &amp; Title],Summary[[#This Row],[Course]],Reader[Est. Salary ($21.57/hr)])</f>
        <v>0</v>
      </c>
      <c r="E15" s="24">
        <f>Summary[[#This Row],[TA Estimate]]+Summary[[#This Row],[Reader Estimate]]</f>
        <v>0</v>
      </c>
    </row>
    <row r="16" spans="1:7" x14ac:dyDescent="0.25">
      <c r="A16" s="23" t="str">
        <f>IFERROR(INDEX(Courses[DropdownCourse],ROW()-3,1),"")</f>
        <v/>
      </c>
      <c r="B16" s="24">
        <f>SUMIF(TA[Course],Summary[[#This Row],[Course]],TA[Est. Salary])</f>
        <v>0</v>
      </c>
      <c r="C16" s="38" t="str">
        <f>IF(Summary[[#This Row],[TA Estimate]]=0,"",Summary[[#This Row],[TA Estimate]]/TARate)</f>
        <v/>
      </c>
      <c r="D16" s="25">
        <f>SUMIF(Reader[Course Number &amp; Title],Summary[[#This Row],[Course]],Reader[Est. Salary ($21.57/hr)])</f>
        <v>0</v>
      </c>
      <c r="E16" s="24">
        <f>Summary[[#This Row],[TA Estimate]]+Summary[[#This Row],[Reader Estimate]]</f>
        <v>0</v>
      </c>
    </row>
    <row r="17" spans="1:5" x14ac:dyDescent="0.25">
      <c r="A17" s="23" t="str">
        <f>IFERROR(INDEX(Courses[DropdownCourse],ROW()-3,1),"")</f>
        <v/>
      </c>
      <c r="B17" s="24">
        <f>SUMIF(TA[Course],Summary[[#This Row],[Course]],TA[Est. Salary])</f>
        <v>0</v>
      </c>
      <c r="C17" s="38" t="str">
        <f>IF(Summary[[#This Row],[TA Estimate]]=0,"",Summary[[#This Row],[TA Estimate]]/TARate)</f>
        <v/>
      </c>
      <c r="D17" s="25">
        <f>SUMIF(Reader[Course Number &amp; Title],Summary[[#This Row],[Course]],Reader[Est. Salary ($21.57/hr)])</f>
        <v>0</v>
      </c>
      <c r="E17" s="24">
        <f>Summary[[#This Row],[TA Estimate]]+Summary[[#This Row],[Reader Estimate]]</f>
        <v>0</v>
      </c>
    </row>
    <row r="18" spans="1:5" x14ac:dyDescent="0.25">
      <c r="A18" s="23" t="str">
        <f>IFERROR(INDEX(Courses[DropdownCourse],ROW()-3,1),"")</f>
        <v/>
      </c>
      <c r="B18" s="24">
        <f>SUMIF(TA[Course],Summary[[#This Row],[Course]],TA[Est. Salary])</f>
        <v>0</v>
      </c>
      <c r="C18" s="38" t="str">
        <f>IF(Summary[[#This Row],[TA Estimate]]=0,"",Summary[[#This Row],[TA Estimate]]/TARate)</f>
        <v/>
      </c>
      <c r="D18" s="25">
        <f>SUMIF(Reader[Course Number &amp; Title],Summary[[#This Row],[Course]],Reader[Est. Salary ($21.57/hr)])</f>
        <v>0</v>
      </c>
      <c r="E18" s="24">
        <f>Summary[[#This Row],[TA Estimate]]+Summary[[#This Row],[Reader Estimate]]</f>
        <v>0</v>
      </c>
    </row>
    <row r="19" spans="1:5" x14ac:dyDescent="0.25">
      <c r="A19" s="23" t="str">
        <f>IFERROR(INDEX(Courses[DropdownCourse],ROW()-3,1),"")</f>
        <v/>
      </c>
      <c r="B19" s="24">
        <f>SUMIF(TA[Course],Summary[[#This Row],[Course]],TA[Est. Salary])</f>
        <v>0</v>
      </c>
      <c r="C19" s="38" t="str">
        <f>IF(Summary[[#This Row],[TA Estimate]]=0,"",Summary[[#This Row],[TA Estimate]]/TARate)</f>
        <v/>
      </c>
      <c r="D19" s="25">
        <f>SUMIF(Reader[Course Number &amp; Title],Summary[[#This Row],[Course]],Reader[Est. Salary ($21.57/hr)])</f>
        <v>0</v>
      </c>
      <c r="E19" s="24">
        <f>Summary[[#This Row],[TA Estimate]]+Summary[[#This Row],[Reader Estimate]]</f>
        <v>0</v>
      </c>
    </row>
    <row r="20" spans="1:5" x14ac:dyDescent="0.25">
      <c r="A20" s="23" t="str">
        <f>IFERROR(INDEX(Courses[DropdownCourse],ROW()-3,1),"")</f>
        <v/>
      </c>
      <c r="B20" s="24">
        <f>SUMIF(TA[Course],Summary[[#This Row],[Course]],TA[Est. Salary])</f>
        <v>0</v>
      </c>
      <c r="C20" s="38" t="str">
        <f>IF(Summary[[#This Row],[TA Estimate]]=0,"",Summary[[#This Row],[TA Estimate]]/TARate)</f>
        <v/>
      </c>
      <c r="D20" s="25">
        <f>SUMIF(Reader[Course Number &amp; Title],Summary[[#This Row],[Course]],Reader[Est. Salary ($21.57/hr)])</f>
        <v>0</v>
      </c>
      <c r="E20" s="24">
        <f>Summary[[#This Row],[TA Estimate]]+Summary[[#This Row],[Reader Estimate]]</f>
        <v>0</v>
      </c>
    </row>
    <row r="21" spans="1:5" x14ac:dyDescent="0.25">
      <c r="A21" s="23" t="str">
        <f>IFERROR(INDEX(Courses[DropdownCourse],ROW()-3,1),"")</f>
        <v/>
      </c>
      <c r="B21" s="24">
        <f>SUMIF(TA[Course],Summary[[#This Row],[Course]],TA[Est. Salary])</f>
        <v>0</v>
      </c>
      <c r="C21" s="38" t="str">
        <f>IF(Summary[[#This Row],[TA Estimate]]=0,"",Summary[[#This Row],[TA Estimate]]/TARate)</f>
        <v/>
      </c>
      <c r="D21" s="25">
        <f>SUMIF(Reader[Course Number &amp; Title],Summary[[#This Row],[Course]],Reader[Est. Salary ($21.57/hr)])</f>
        <v>0</v>
      </c>
      <c r="E21" s="24">
        <f>Summary[[#This Row],[TA Estimate]]+Summary[[#This Row],[Reader Estimate]]</f>
        <v>0</v>
      </c>
    </row>
    <row r="22" spans="1:5" x14ac:dyDescent="0.25">
      <c r="A22" s="23" t="str">
        <f>IFERROR(INDEX(Courses[DropdownCourse],ROW()-3,1),"")</f>
        <v/>
      </c>
      <c r="B22" s="24">
        <f>SUMIF(TA[Course],Summary[[#This Row],[Course]],TA[Est. Salary])</f>
        <v>0</v>
      </c>
      <c r="C22" s="38" t="str">
        <f>IF(Summary[[#This Row],[TA Estimate]]=0,"",Summary[[#This Row],[TA Estimate]]/TARate)</f>
        <v/>
      </c>
      <c r="D22" s="25">
        <f>SUMIF(Reader[Course Number &amp; Title],Summary[[#This Row],[Course]],Reader[Est. Salary ($21.57/hr)])</f>
        <v>0</v>
      </c>
      <c r="E22" s="24">
        <f>Summary[[#This Row],[TA Estimate]]+Summary[[#This Row],[Reader Estimate]]</f>
        <v>0</v>
      </c>
    </row>
    <row r="23" spans="1:5" x14ac:dyDescent="0.25">
      <c r="A23" s="23" t="str">
        <f>IFERROR(INDEX(Courses[DropdownCourse],ROW()-3,1),"")</f>
        <v/>
      </c>
      <c r="B23" s="24">
        <f>SUMIF(TA[Course],Summary[[#This Row],[Course]],TA[Est. Salary])</f>
        <v>0</v>
      </c>
      <c r="C23" s="38" t="str">
        <f>IF(Summary[[#This Row],[TA Estimate]]=0,"",Summary[[#This Row],[TA Estimate]]/TARate)</f>
        <v/>
      </c>
      <c r="D23" s="25">
        <f>SUMIF(Reader[Course Number &amp; Title],Summary[[#This Row],[Course]],Reader[Est. Salary ($21.57/hr)])</f>
        <v>0</v>
      </c>
      <c r="E23" s="24">
        <f>Summary[[#This Row],[TA Estimate]]+Summary[[#This Row],[Reader Estimate]]</f>
        <v>0</v>
      </c>
    </row>
    <row r="24" spans="1:5" x14ac:dyDescent="0.25">
      <c r="A24" s="23" t="str">
        <f>IFERROR(INDEX(Courses[DropdownCourse],ROW()-3,1),"")</f>
        <v/>
      </c>
      <c r="B24" s="24">
        <f>SUMIF(TA[Course],Summary[[#This Row],[Course]],TA[Est. Salary])</f>
        <v>0</v>
      </c>
      <c r="C24" s="38" t="str">
        <f>IF(Summary[[#This Row],[TA Estimate]]=0,"",Summary[[#This Row],[TA Estimate]]/TARate)</f>
        <v/>
      </c>
      <c r="D24" s="25">
        <f>SUMIF(Reader[Course Number &amp; Title],Summary[[#This Row],[Course]],Reader[Est. Salary ($21.57/hr)])</f>
        <v>0</v>
      </c>
      <c r="E24" s="24">
        <f>Summary[[#This Row],[TA Estimate]]+Summary[[#This Row],[Reader Estimate]]</f>
        <v>0</v>
      </c>
    </row>
    <row r="25" spans="1:5" x14ac:dyDescent="0.25">
      <c r="A25" s="23" t="str">
        <f>IFERROR(INDEX(Courses[DropdownCourse],ROW()-3,1),"")</f>
        <v/>
      </c>
      <c r="B25" s="24">
        <f>SUMIF(TA[Course],Summary[[#This Row],[Course]],TA[Est. Salary])</f>
        <v>0</v>
      </c>
      <c r="C25" s="38" t="str">
        <f>IF(Summary[[#This Row],[TA Estimate]]=0,"",Summary[[#This Row],[TA Estimate]]/TARate)</f>
        <v/>
      </c>
      <c r="D25" s="25">
        <f>SUMIF(Reader[Course Number &amp; Title],Summary[[#This Row],[Course]],Reader[Est. Salary ($21.57/hr)])</f>
        <v>0</v>
      </c>
      <c r="E25" s="24">
        <f>Summary[[#This Row],[TA Estimate]]+Summary[[#This Row],[Reader Estimate]]</f>
        <v>0</v>
      </c>
    </row>
    <row r="26" spans="1:5" x14ac:dyDescent="0.25">
      <c r="A26" s="23" t="str">
        <f>IFERROR(INDEX(Courses[DropdownCourse],ROW()-3,1),"")</f>
        <v/>
      </c>
      <c r="B26" s="24">
        <f>SUMIF(TA[Course],Summary[[#This Row],[Course]],TA[Est. Salary])</f>
        <v>0</v>
      </c>
      <c r="C26" s="38" t="str">
        <f>IF(Summary[[#This Row],[TA Estimate]]=0,"",Summary[[#This Row],[TA Estimate]]/TARate)</f>
        <v/>
      </c>
      <c r="D26" s="25">
        <f>SUMIF(Reader[Course Number &amp; Title],Summary[[#This Row],[Course]],Reader[Est. Salary ($21.57/hr)])</f>
        <v>0</v>
      </c>
      <c r="E26" s="24">
        <f>Summary[[#This Row],[TA Estimate]]+Summary[[#This Row],[Reader Estimate]]</f>
        <v>0</v>
      </c>
    </row>
    <row r="27" spans="1:5" x14ac:dyDescent="0.25">
      <c r="A27" s="23" t="str">
        <f>IFERROR(INDEX(Courses[DropdownCourse],ROW()-3,1),"")</f>
        <v/>
      </c>
      <c r="B27" s="24">
        <f>SUMIF(TA[Course],Summary[[#This Row],[Course]],TA[Est. Salary])</f>
        <v>0</v>
      </c>
      <c r="C27" s="38" t="str">
        <f>IF(Summary[[#This Row],[TA Estimate]]=0,"",Summary[[#This Row],[TA Estimate]]/TARate)</f>
        <v/>
      </c>
      <c r="D27" s="25">
        <f>SUMIF(Reader[Course Number &amp; Title],Summary[[#This Row],[Course]],Reader[Est. Salary ($21.57/hr)])</f>
        <v>0</v>
      </c>
      <c r="E27" s="24">
        <f>Summary[[#This Row],[TA Estimate]]+Summary[[#This Row],[Reader Estimate]]</f>
        <v>0</v>
      </c>
    </row>
    <row r="28" spans="1:5" x14ac:dyDescent="0.25">
      <c r="A28" s="23" t="str">
        <f>IFERROR(INDEX(Courses[DropdownCourse],ROW()-3,1),"")</f>
        <v/>
      </c>
      <c r="B28" s="24">
        <f>SUMIF(TA[Course],Summary[[#This Row],[Course]],TA[Est. Salary])</f>
        <v>0</v>
      </c>
      <c r="C28" s="38" t="str">
        <f>IF(Summary[[#This Row],[TA Estimate]]=0,"",Summary[[#This Row],[TA Estimate]]/TARate)</f>
        <v/>
      </c>
      <c r="D28" s="25">
        <f>SUMIF(Reader[Course Number &amp; Title],Summary[[#This Row],[Course]],Reader[Est. Salary ($21.57/hr)])</f>
        <v>0</v>
      </c>
      <c r="E28" s="24">
        <f>Summary[[#This Row],[TA Estimate]]+Summary[[#This Row],[Reader Estimate]]</f>
        <v>0</v>
      </c>
    </row>
    <row r="29" spans="1:5" x14ac:dyDescent="0.25">
      <c r="A29" s="23" t="str">
        <f>IFERROR(INDEX(Courses[DropdownCourse],ROW()-3,1),"")</f>
        <v/>
      </c>
      <c r="B29" s="24">
        <f>SUMIF(TA[Course],Summary[[#This Row],[Course]],TA[Est. Salary])</f>
        <v>0</v>
      </c>
      <c r="C29" s="38" t="str">
        <f>IF(Summary[[#This Row],[TA Estimate]]=0,"",Summary[[#This Row],[TA Estimate]]/TARate)</f>
        <v/>
      </c>
      <c r="D29" s="25">
        <f>SUMIF(Reader[Course Number &amp; Title],Summary[[#This Row],[Course]],Reader[Est. Salary ($21.57/hr)])</f>
        <v>0</v>
      </c>
      <c r="E29" s="24">
        <f>Summary[[#This Row],[TA Estimate]]+Summary[[#This Row],[Reader Estimate]]</f>
        <v>0</v>
      </c>
    </row>
    <row r="30" spans="1:5" x14ac:dyDescent="0.25">
      <c r="A30" s="23" t="str">
        <f>IFERROR(INDEX(Courses[DropdownCourse],ROW()-3,1),"")</f>
        <v/>
      </c>
      <c r="B30" s="24">
        <f>SUMIF(TA[Course],Summary[[#This Row],[Course]],TA[Est. Salary])</f>
        <v>0</v>
      </c>
      <c r="C30" s="38" t="str">
        <f>IF(Summary[[#This Row],[TA Estimate]]=0,"",Summary[[#This Row],[TA Estimate]]/TARate)</f>
        <v/>
      </c>
      <c r="D30" s="25">
        <f>SUMIF(Reader[Course Number &amp; Title],Summary[[#This Row],[Course]],Reader[Est. Salary ($21.57/hr)])</f>
        <v>0</v>
      </c>
      <c r="E30" s="24">
        <f>Summary[[#This Row],[TA Estimate]]+Summary[[#This Row],[Reader Estimate]]</f>
        <v>0</v>
      </c>
    </row>
    <row r="31" spans="1:5" x14ac:dyDescent="0.25">
      <c r="A31" s="23" t="str">
        <f>IFERROR(INDEX(Courses[DropdownCourse],ROW()-3,1),"")</f>
        <v/>
      </c>
      <c r="B31" s="24">
        <f>SUMIF(TA[Course],Summary[[#This Row],[Course]],TA[Est. Salary])</f>
        <v>0</v>
      </c>
      <c r="C31" s="38" t="str">
        <f>IF(Summary[[#This Row],[TA Estimate]]=0,"",Summary[[#This Row],[TA Estimate]]/TARate)</f>
        <v/>
      </c>
      <c r="D31" s="25">
        <f>SUMIF(Reader[Course Number &amp; Title],Summary[[#This Row],[Course]],Reader[Est. Salary ($21.57/hr)])</f>
        <v>0</v>
      </c>
      <c r="E31" s="24">
        <f>Summary[[#This Row],[TA Estimate]]+Summary[[#This Row],[Reader Estimate]]</f>
        <v>0</v>
      </c>
    </row>
    <row r="32" spans="1:5" x14ac:dyDescent="0.25">
      <c r="A32" s="23" t="str">
        <f>IFERROR(INDEX(Courses[DropdownCourse],ROW()-3,1),"")</f>
        <v/>
      </c>
      <c r="B32" s="24">
        <f>SUMIF(TA[Course],Summary[[#This Row],[Course]],TA[Est. Salary])</f>
        <v>0</v>
      </c>
      <c r="C32" s="38" t="str">
        <f>IF(Summary[[#This Row],[TA Estimate]]=0,"",Summary[[#This Row],[TA Estimate]]/TARate)</f>
        <v/>
      </c>
      <c r="D32" s="25">
        <f>SUMIF(Reader[Course Number &amp; Title],Summary[[#This Row],[Course]],Reader[Est. Salary ($21.57/hr)])</f>
        <v>0</v>
      </c>
      <c r="E32" s="24">
        <f>Summary[[#This Row],[TA Estimate]]+Summary[[#This Row],[Reader Estimate]]</f>
        <v>0</v>
      </c>
    </row>
    <row r="33" spans="1:5" x14ac:dyDescent="0.25">
      <c r="A33" s="26" t="str">
        <f>IFERROR(INDEX(Courses[DropdownCourse],ROW()-3,1),"")</f>
        <v/>
      </c>
      <c r="B33" s="27">
        <f>SUMIF(TA[Course],Summary[[#This Row],[Course]],TA[Est. Salary])</f>
        <v>0</v>
      </c>
      <c r="C33" s="39" t="str">
        <f>IF(Summary[[#This Row],[TA Estimate]]=0,"",Summary[[#This Row],[TA Estimate]]/TARate)</f>
        <v/>
      </c>
      <c r="D33" s="28">
        <f>SUMIF(Reader[Course Number &amp; Title],Summary[[#This Row],[Course]],Reader[Est. Salary ($21.57/hr)])</f>
        <v>0</v>
      </c>
      <c r="E33" s="27">
        <f>Summary[[#This Row],[TA Estimate]]+Summary[[#This Row],[Reader Estimate]]</f>
        <v>0</v>
      </c>
    </row>
    <row r="34" spans="1:5" x14ac:dyDescent="0.25">
      <c r="A34" s="36"/>
      <c r="B34" s="35">
        <f>SUBTOTAL(109,Summary[TA Estimate])</f>
        <v>172610</v>
      </c>
      <c r="C34" s="37">
        <f>SUBTOTAL(109,Summary[TA FTE])</f>
        <v>4.2099999999999991</v>
      </c>
      <c r="D34" s="35">
        <f>SUBTOTAL(109,Summary[Reader Estimate])</f>
        <v>1294.2</v>
      </c>
      <c r="E34" s="35">
        <f>SUBTOTAL(109,Summary[Total Estimate])</f>
        <v>173904.2</v>
      </c>
    </row>
  </sheetData>
  <sheetProtection sheet="1" selectLockedCells="1" selectUnlockedCells="1"/>
  <mergeCells count="1">
    <mergeCell ref="A1:D1"/>
  </mergeCells>
  <conditionalFormatting sqref="A4:E33">
    <cfRule type="containsBlanks" dxfId="19" priority="5">
      <formula>LEN(TRIM(A4))=0</formula>
    </cfRule>
  </conditionalFormatting>
  <conditionalFormatting sqref="A27">
    <cfRule type="cellIs" dxfId="18" priority="1" operator="equal">
      <formula>0</formula>
    </cfRule>
  </conditionalFormatting>
  <pageMargins left="0.25" right="0.25" top="0.75" bottom="0.75" header="0.3" footer="0.3"/>
  <pageSetup fitToHeight="0" orientation="landscape" r:id="rId1"/>
  <headerFooter>
    <oddFooter>&amp;L&amp;D&amp;R&amp;Z&amp;F</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RowColHeaders="0" zoomScaleNormal="100" workbookViewId="0">
      <selection activeCell="A3" sqref="A3"/>
    </sheetView>
  </sheetViews>
  <sheetFormatPr defaultRowHeight="15" x14ac:dyDescent="0.25"/>
  <cols>
    <col min="1" max="1" width="43.5703125" bestFit="1" customWidth="1"/>
    <col min="2" max="2" width="14.42578125" bestFit="1" customWidth="1"/>
    <col min="3" max="3" width="13.7109375" bestFit="1" customWidth="1"/>
    <col min="4" max="4" width="17.85546875" bestFit="1" customWidth="1"/>
    <col min="5" max="5" width="16" bestFit="1" customWidth="1"/>
  </cols>
  <sheetData>
    <row r="1" spans="1:7" ht="21" x14ac:dyDescent="0.35">
      <c r="A1" s="69" t="s">
        <v>58</v>
      </c>
      <c r="B1" s="69"/>
      <c r="C1" s="69"/>
      <c r="D1" s="69"/>
    </row>
    <row r="2" spans="1:7" x14ac:dyDescent="0.25">
      <c r="A2" s="43" t="str">
        <f>IF(DeptName="","Enter department/center name on 'Dept Details worksheet",DeptName&amp; " (no entry on this page)")</f>
        <v>Jurassic Studies (no entry on this page)</v>
      </c>
      <c r="B2" s="31"/>
      <c r="C2" s="31"/>
      <c r="D2" s="31"/>
      <c r="E2" s="31"/>
      <c r="F2" s="31"/>
      <c r="G2" s="31"/>
    </row>
    <row r="3" spans="1:7" x14ac:dyDescent="0.25">
      <c r="A3" s="22" t="s">
        <v>6</v>
      </c>
      <c r="B3" s="22" t="s">
        <v>26</v>
      </c>
      <c r="C3" s="22" t="s">
        <v>60</v>
      </c>
      <c r="D3" s="22" t="s">
        <v>27</v>
      </c>
      <c r="E3" s="22" t="s">
        <v>28</v>
      </c>
    </row>
    <row r="4" spans="1:7" x14ac:dyDescent="0.25">
      <c r="A4" s="23" t="str">
        <f>IFERROR(INDEX(Funding[Fund Name],ROW()-3,1),"")</f>
        <v>TA 101 Budget</v>
      </c>
      <c r="B4" s="24">
        <f>IF(Summary5[[#This Row],[Funding]]="",0,SUMIF(TA[Funding],Summary5[[#This Row],[Funding]],TA[Est. Salary]))</f>
        <v>162360</v>
      </c>
      <c r="C4" s="38">
        <f>IFERROR(IF(Summary5[[#This Row],[TA Estimate]]=0,"",Summary5[[#This Row],[TA Estimate]]/TARate),"")</f>
        <v>3.96</v>
      </c>
      <c r="D4" s="24">
        <f>IF(Summary5[[#This Row],[Funding]]="",0,SUMIF(Reader[Funding],Summary5[[#This Row],[Funding]],Reader[Est. Salary ($21.57/hr)]))</f>
        <v>1294.2</v>
      </c>
      <c r="E4" s="24">
        <f>Summary5[[#This Row],[TA Estimate]]+Summary5[[#This Row],[Reader Estimate]]</f>
        <v>163654.20000000001</v>
      </c>
    </row>
    <row r="5" spans="1:7" x14ac:dyDescent="0.25">
      <c r="A5" s="23" t="str">
        <f>IFERROR(INDEX(Funding[Fund Name],ROW()-3,1),"")</f>
        <v>Summer Revenue</v>
      </c>
      <c r="B5" s="24">
        <f>IF(Summary5[[#This Row],[Funding]]="",0,SUMIF(TA[Funding],Summary5[[#This Row],[Funding]],TA[Est. Salary]))</f>
        <v>10250</v>
      </c>
      <c r="C5" s="38">
        <f>IFERROR(IF(Summary5[[#This Row],[TA Estimate]]=0,"",Summary5[[#This Row],[TA Estimate]]/TARate),"")</f>
        <v>0.25</v>
      </c>
      <c r="D5" s="25">
        <f>IF(Summary5[[#This Row],[Funding]]="",0,SUMIF(Reader[Funding],Summary5[[#This Row],[Funding]],Reader[Est. Salary ($21.57/hr)]))</f>
        <v>0</v>
      </c>
      <c r="E5" s="24">
        <f>Summary5[[#This Row],[TA Estimate]]+Summary5[[#This Row],[Reader Estimate]]</f>
        <v>10250</v>
      </c>
    </row>
    <row r="6" spans="1:7" x14ac:dyDescent="0.25">
      <c r="A6" s="23" t="str">
        <f>IFERROR(INDEX(Funding[Fund Name],ROW()-3,1),"")</f>
        <v/>
      </c>
      <c r="B6" s="24">
        <f>IF(Summary5[[#This Row],[Funding]]="",0,SUMIF(TA[Funding],Summary5[[#This Row],[Funding]],TA[Est. Salary]))</f>
        <v>0</v>
      </c>
      <c r="C6" s="38" t="str">
        <f>IFERROR(IF(Summary5[[#This Row],[TA Estimate]]=0,"",Summary5[[#This Row],[TA Estimate]]/TARate),"")</f>
        <v/>
      </c>
      <c r="D6" s="25">
        <f>IF(Summary5[[#This Row],[Funding]]="",0,SUMIF(Reader[Funding],Summary5[[#This Row],[Funding]],Reader[Est. Salary ($21.57/hr)]))</f>
        <v>0</v>
      </c>
      <c r="E6" s="24">
        <f>Summary5[[#This Row],[TA Estimate]]+Summary5[[#This Row],[Reader Estimate]]</f>
        <v>0</v>
      </c>
    </row>
    <row r="7" spans="1:7" x14ac:dyDescent="0.25">
      <c r="A7" s="23" t="str">
        <f>IFERROR(INDEX(Funding[Fund Name],ROW()-3,1),"")</f>
        <v/>
      </c>
      <c r="B7" s="24">
        <f>IF(Summary5[[#This Row],[Funding]]="",0,SUMIF(TA[Funding],Summary5[[#This Row],[Funding]],TA[Est. Salary]))</f>
        <v>0</v>
      </c>
      <c r="C7" s="38" t="str">
        <f>IFERROR(IF(Summary5[[#This Row],[TA Estimate]]=0,"",Summary5[[#This Row],[TA Estimate]]/TARate),"")</f>
        <v/>
      </c>
      <c r="D7" s="25">
        <f>IF(Summary5[[#This Row],[Funding]]="",0,SUMIF(Reader[Funding],Summary5[[#This Row],[Funding]],Reader[Est. Salary ($21.57/hr)]))</f>
        <v>0</v>
      </c>
      <c r="E7" s="24">
        <f>Summary5[[#This Row],[TA Estimate]]+Summary5[[#This Row],[Reader Estimate]]</f>
        <v>0</v>
      </c>
    </row>
    <row r="8" spans="1:7" x14ac:dyDescent="0.25">
      <c r="A8" s="23" t="str">
        <f>IFERROR(INDEX(Funding[Fund Name],ROW()-3,1),"")</f>
        <v/>
      </c>
      <c r="B8" s="24">
        <f>IF(Summary5[[#This Row],[Funding]]="",0,SUMIF(TA[Funding],Summary5[[#This Row],[Funding]],TA[Est. Salary]))</f>
        <v>0</v>
      </c>
      <c r="C8" s="38" t="str">
        <f>IFERROR(IF(Summary5[[#This Row],[TA Estimate]]=0,"",Summary5[[#This Row],[TA Estimate]]/TARate),"")</f>
        <v/>
      </c>
      <c r="D8" s="25">
        <f>IF(Summary5[[#This Row],[Funding]]="",0,SUMIF(Reader[Funding],Summary5[[#This Row],[Funding]],Reader[Est. Salary ($21.57/hr)]))</f>
        <v>0</v>
      </c>
      <c r="E8" s="24">
        <f>Summary5[[#This Row],[TA Estimate]]+Summary5[[#This Row],[Reader Estimate]]</f>
        <v>0</v>
      </c>
    </row>
    <row r="9" spans="1:7" x14ac:dyDescent="0.25">
      <c r="A9" s="23" t="str">
        <f>IFERROR(INDEX(Funding[Fund Name],ROW()-3,1),"")</f>
        <v/>
      </c>
      <c r="B9" s="24">
        <f>IF(Summary5[[#This Row],[Funding]]="",0,SUMIF(TA[Funding],Summary5[[#This Row],[Funding]],TA[Est. Salary]))</f>
        <v>0</v>
      </c>
      <c r="C9" s="38" t="str">
        <f>IFERROR(IF(Summary5[[#This Row],[TA Estimate]]=0,"",Summary5[[#This Row],[TA Estimate]]/TARate),"")</f>
        <v/>
      </c>
      <c r="D9" s="25">
        <f>IF(Summary5[[#This Row],[Funding]]="",0,SUMIF(Reader[Funding],Summary5[[#This Row],[Funding]],Reader[Est. Salary ($21.57/hr)]))</f>
        <v>0</v>
      </c>
      <c r="E9" s="24">
        <f>Summary5[[#This Row],[TA Estimate]]+Summary5[[#This Row],[Reader Estimate]]</f>
        <v>0</v>
      </c>
    </row>
    <row r="10" spans="1:7" x14ac:dyDescent="0.25">
      <c r="A10" s="23" t="str">
        <f>IFERROR(INDEX(Funding[Fund Name],ROW()-3,1),"")</f>
        <v/>
      </c>
      <c r="B10" s="24">
        <f>IF(Summary5[[#This Row],[Funding]]="",0,SUMIF(TA[Funding],Summary5[[#This Row],[Funding]],TA[Est. Salary]))</f>
        <v>0</v>
      </c>
      <c r="C10" s="38" t="str">
        <f>IFERROR(IF(Summary5[[#This Row],[TA Estimate]]=0,"",Summary5[[#This Row],[TA Estimate]]/TARate),"")</f>
        <v/>
      </c>
      <c r="D10" s="25">
        <f>IF(Summary5[[#This Row],[Funding]]="",0,SUMIF(Reader[Funding],Summary5[[#This Row],[Funding]],Reader[Est. Salary ($21.57/hr)]))</f>
        <v>0</v>
      </c>
      <c r="E10" s="24">
        <f>Summary5[[#This Row],[TA Estimate]]+Summary5[[#This Row],[Reader Estimate]]</f>
        <v>0</v>
      </c>
    </row>
    <row r="11" spans="1:7" x14ac:dyDescent="0.25">
      <c r="A11" s="23" t="str">
        <f>IFERROR(INDEX(Funding[Fund Name],ROW()-3,1),"")</f>
        <v/>
      </c>
      <c r="B11" s="24">
        <f>IF(Summary5[[#This Row],[Funding]]="",0,SUMIF(TA[Funding],Summary5[[#This Row],[Funding]],TA[Est. Salary]))</f>
        <v>0</v>
      </c>
      <c r="C11" s="38" t="str">
        <f>IFERROR(IF(Summary5[[#This Row],[TA Estimate]]=0,"",Summary5[[#This Row],[TA Estimate]]/TARate),"")</f>
        <v/>
      </c>
      <c r="D11" s="25">
        <f>IF(Summary5[[#This Row],[Funding]]="",0,SUMIF(Reader[Funding],Summary5[[#This Row],[Funding]],Reader[Est. Salary ($21.57/hr)]))</f>
        <v>0</v>
      </c>
      <c r="E11" s="24">
        <f>Summary5[[#This Row],[TA Estimate]]+Summary5[[#This Row],[Reader Estimate]]</f>
        <v>0</v>
      </c>
    </row>
    <row r="12" spans="1:7" x14ac:dyDescent="0.25">
      <c r="A12" s="23" t="str">
        <f>IFERROR(INDEX(Funding[Fund Name],ROW()-3,1),"")</f>
        <v/>
      </c>
      <c r="B12" s="24">
        <f>IF(Summary5[[#This Row],[Funding]]="",0,SUMIF(TA[Funding],Summary5[[#This Row],[Funding]],TA[Est. Salary]))</f>
        <v>0</v>
      </c>
      <c r="C12" s="38" t="str">
        <f>IFERROR(IF(Summary5[[#This Row],[TA Estimate]]=0,"",Summary5[[#This Row],[TA Estimate]]/TARate),"")</f>
        <v/>
      </c>
      <c r="D12" s="25">
        <f>IF(Summary5[[#This Row],[Funding]]="",0,SUMIF(Reader[Funding],Summary5[[#This Row],[Funding]],Reader[Est. Salary ($21.57/hr)]))</f>
        <v>0</v>
      </c>
      <c r="E12" s="24">
        <f>Summary5[[#This Row],[TA Estimate]]+Summary5[[#This Row],[Reader Estimate]]</f>
        <v>0</v>
      </c>
    </row>
    <row r="13" spans="1:7" x14ac:dyDescent="0.25">
      <c r="A13" s="23" t="str">
        <f>IFERROR(INDEX(Funding[Fund Name],ROW()-3,1),"")</f>
        <v/>
      </c>
      <c r="B13" s="24">
        <f>IF(Summary5[[#This Row],[Funding]]="",0,SUMIF(TA[Funding],Summary5[[#This Row],[Funding]],TA[Est. Salary]))</f>
        <v>0</v>
      </c>
      <c r="C13" s="38" t="str">
        <f>IFERROR(IF(Summary5[[#This Row],[TA Estimate]]=0,"",Summary5[[#This Row],[TA Estimate]]/TARate),"")</f>
        <v/>
      </c>
      <c r="D13" s="25">
        <f>IF(Summary5[[#This Row],[Funding]]="",0,SUMIF(Reader[Funding],Summary5[[#This Row],[Funding]],Reader[Est. Salary ($21.57/hr)]))</f>
        <v>0</v>
      </c>
      <c r="E13" s="24">
        <f>Summary5[[#This Row],[TA Estimate]]+Summary5[[#This Row],[Reader Estimate]]</f>
        <v>0</v>
      </c>
    </row>
    <row r="14" spans="1:7" x14ac:dyDescent="0.25">
      <c r="A14" s="23" t="str">
        <f>IFERROR(INDEX(Funding[Fund Name],ROW()-3,1),"")</f>
        <v/>
      </c>
      <c r="B14" s="24">
        <f>IF(Summary5[[#This Row],[Funding]]="",0,SUMIF(TA[Funding],Summary5[[#This Row],[Funding]],TA[Est. Salary]))</f>
        <v>0</v>
      </c>
      <c r="C14" s="38" t="str">
        <f>IFERROR(IF(Summary5[[#This Row],[TA Estimate]]=0,"",Summary5[[#This Row],[TA Estimate]]/TARate),"")</f>
        <v/>
      </c>
      <c r="D14" s="25">
        <f>IF(Summary5[[#This Row],[Funding]]="",0,SUMIF(Reader[Funding],Summary5[[#This Row],[Funding]],Reader[Est. Salary ($21.57/hr)]))</f>
        <v>0</v>
      </c>
      <c r="E14" s="24">
        <f>Summary5[[#This Row],[TA Estimate]]+Summary5[[#This Row],[Reader Estimate]]</f>
        <v>0</v>
      </c>
    </row>
    <row r="15" spans="1:7" x14ac:dyDescent="0.25">
      <c r="A15" s="23" t="str">
        <f>IFERROR(INDEX(Funding[Fund Name],ROW()-3,1),"")</f>
        <v/>
      </c>
      <c r="B15" s="24">
        <f>IF(Summary5[[#This Row],[Funding]]="",0,SUMIF(TA[Funding],Summary5[[#This Row],[Funding]],TA[Est. Salary]))</f>
        <v>0</v>
      </c>
      <c r="C15" s="38" t="str">
        <f>IFERROR(IF(Summary5[[#This Row],[TA Estimate]]=0,"",Summary5[[#This Row],[TA Estimate]]/TARate),"")</f>
        <v/>
      </c>
      <c r="D15" s="25">
        <f>IF(Summary5[[#This Row],[Funding]]="",0,SUMIF(Reader[Funding],Summary5[[#This Row],[Funding]],Reader[Est. Salary ($21.57/hr)]))</f>
        <v>0</v>
      </c>
      <c r="E15" s="24">
        <f>Summary5[[#This Row],[TA Estimate]]+Summary5[[#This Row],[Reader Estimate]]</f>
        <v>0</v>
      </c>
    </row>
    <row r="16" spans="1:7" x14ac:dyDescent="0.25">
      <c r="A16" s="23" t="str">
        <f>IFERROR(INDEX(Funding[Fund Name],ROW()-3,1),"")</f>
        <v/>
      </c>
      <c r="B16" s="24">
        <f>IF(Summary5[[#This Row],[Funding]]="",0,SUMIF(TA[Funding],Summary5[[#This Row],[Funding]],TA[Est. Salary]))</f>
        <v>0</v>
      </c>
      <c r="C16" s="38" t="str">
        <f>IFERROR(IF(Summary5[[#This Row],[TA Estimate]]=0,"",Summary5[[#This Row],[TA Estimate]]/TARate),"")</f>
        <v/>
      </c>
      <c r="D16" s="25">
        <f>IF(Summary5[[#This Row],[Funding]]="",0,SUMIF(Reader[Funding],Summary5[[#This Row],[Funding]],Reader[Est. Salary ($21.57/hr)]))</f>
        <v>0</v>
      </c>
      <c r="E16" s="24">
        <f>Summary5[[#This Row],[TA Estimate]]+Summary5[[#This Row],[Reader Estimate]]</f>
        <v>0</v>
      </c>
    </row>
    <row r="17" spans="1:5" x14ac:dyDescent="0.25">
      <c r="A17" s="23" t="str">
        <f>IFERROR(INDEX(Funding[Fund Name],ROW()-3,1),"")</f>
        <v/>
      </c>
      <c r="B17" s="24">
        <f>IF(Summary5[[#This Row],[Funding]]="",0,SUMIF(TA[Funding],Summary5[[#This Row],[Funding]],TA[Est. Salary]))</f>
        <v>0</v>
      </c>
      <c r="C17" s="38" t="str">
        <f>IFERROR(IF(Summary5[[#This Row],[TA Estimate]]=0,"",Summary5[[#This Row],[TA Estimate]]/TARate),"")</f>
        <v/>
      </c>
      <c r="D17" s="25">
        <f>IF(Summary5[[#This Row],[Funding]]="",0,SUMIF(Reader[Funding],Summary5[[#This Row],[Funding]],Reader[Est. Salary ($21.57/hr)]))</f>
        <v>0</v>
      </c>
      <c r="E17" s="24">
        <f>Summary5[[#This Row],[TA Estimate]]+Summary5[[#This Row],[Reader Estimate]]</f>
        <v>0</v>
      </c>
    </row>
    <row r="18" spans="1:5" x14ac:dyDescent="0.25">
      <c r="A18" s="23" t="str">
        <f>IFERROR(INDEX(Funding[Fund Name],ROW()-3,1),"")</f>
        <v/>
      </c>
      <c r="B18" s="24">
        <f>IF(Summary5[[#This Row],[Funding]]="",0,SUMIF(TA[Funding],Summary5[[#This Row],[Funding]],TA[Est. Salary]))</f>
        <v>0</v>
      </c>
      <c r="C18" s="38" t="str">
        <f>IFERROR(IF(Summary5[[#This Row],[TA Estimate]]=0,"",Summary5[[#This Row],[TA Estimate]]/TARate),"")</f>
        <v/>
      </c>
      <c r="D18" s="25">
        <f>IF(Summary5[[#This Row],[Funding]]="",0,SUMIF(Reader[Funding],Summary5[[#This Row],[Funding]],Reader[Est. Salary ($21.57/hr)]))</f>
        <v>0</v>
      </c>
      <c r="E18" s="24">
        <f>Summary5[[#This Row],[TA Estimate]]+Summary5[[#This Row],[Reader Estimate]]</f>
        <v>0</v>
      </c>
    </row>
    <row r="19" spans="1:5" x14ac:dyDescent="0.25">
      <c r="A19" s="23" t="str">
        <f>IFERROR(INDEX(Funding[Fund Name],ROW()-3,1),"")</f>
        <v/>
      </c>
      <c r="B19" s="24">
        <f>IF(Summary5[[#This Row],[Funding]]="",0,SUMIF(TA[Funding],Summary5[[#This Row],[Funding]],TA[Est. Salary]))</f>
        <v>0</v>
      </c>
      <c r="C19" s="38" t="str">
        <f>IFERROR(IF(Summary5[[#This Row],[TA Estimate]]=0,"",Summary5[[#This Row],[TA Estimate]]/TARate),"")</f>
        <v/>
      </c>
      <c r="D19" s="25">
        <f>IF(Summary5[[#This Row],[Funding]]="",0,SUMIF(Reader[Funding],Summary5[[#This Row],[Funding]],Reader[Est. Salary ($21.57/hr)]))</f>
        <v>0</v>
      </c>
      <c r="E19" s="24">
        <f>Summary5[[#This Row],[TA Estimate]]+Summary5[[#This Row],[Reader Estimate]]</f>
        <v>0</v>
      </c>
    </row>
    <row r="20" spans="1:5" x14ac:dyDescent="0.25">
      <c r="A20" s="23" t="str">
        <f>IFERROR(INDEX(Funding[Fund Name],ROW()-3,1),"")</f>
        <v/>
      </c>
      <c r="B20" s="24">
        <f>IF(Summary5[[#This Row],[Funding]]="",0,SUMIF(TA[Funding],Summary5[[#This Row],[Funding]],TA[Est. Salary]))</f>
        <v>0</v>
      </c>
      <c r="C20" s="38" t="str">
        <f>IFERROR(IF(Summary5[[#This Row],[TA Estimate]]=0,"",Summary5[[#This Row],[TA Estimate]]/TARate),"")</f>
        <v/>
      </c>
      <c r="D20" s="25">
        <f>IF(Summary5[[#This Row],[Funding]]="",0,SUMIF(Reader[Funding],Summary5[[#This Row],[Funding]],Reader[Est. Salary ($21.57/hr)]))</f>
        <v>0</v>
      </c>
      <c r="E20" s="24">
        <f>Summary5[[#This Row],[TA Estimate]]+Summary5[[#This Row],[Reader Estimate]]</f>
        <v>0</v>
      </c>
    </row>
    <row r="21" spans="1:5" x14ac:dyDescent="0.25">
      <c r="A21" s="23" t="str">
        <f>IFERROR(INDEX(Funding[Fund Name],ROW()-3,1),"")</f>
        <v/>
      </c>
      <c r="B21" s="24">
        <f>IF(Summary5[[#This Row],[Funding]]="",0,SUMIF(TA[Funding],Summary5[[#This Row],[Funding]],TA[Est. Salary]))</f>
        <v>0</v>
      </c>
      <c r="C21" s="38" t="str">
        <f>IFERROR(IF(Summary5[[#This Row],[TA Estimate]]=0,"",Summary5[[#This Row],[TA Estimate]]/TARate),"")</f>
        <v/>
      </c>
      <c r="D21" s="25">
        <f>IF(Summary5[[#This Row],[Funding]]="",0,SUMIF(Reader[Funding],Summary5[[#This Row],[Funding]],Reader[Est. Salary ($21.57/hr)]))</f>
        <v>0</v>
      </c>
      <c r="E21" s="24">
        <f>Summary5[[#This Row],[TA Estimate]]+Summary5[[#This Row],[Reader Estimate]]</f>
        <v>0</v>
      </c>
    </row>
    <row r="22" spans="1:5" x14ac:dyDescent="0.25">
      <c r="A22" s="23" t="str">
        <f>IFERROR(INDEX(Funding[Fund Name],ROW()-3,1),"")</f>
        <v/>
      </c>
      <c r="B22" s="24">
        <f>IF(Summary5[[#This Row],[Funding]]="",0,SUMIF(TA[Funding],Summary5[[#This Row],[Funding]],TA[Est. Salary]))</f>
        <v>0</v>
      </c>
      <c r="C22" s="38" t="str">
        <f>IFERROR(IF(Summary5[[#This Row],[TA Estimate]]=0,"",Summary5[[#This Row],[TA Estimate]]/TARate),"")</f>
        <v/>
      </c>
      <c r="D22" s="25">
        <f>IF(Summary5[[#This Row],[Funding]]="",0,SUMIF(Reader[Funding],Summary5[[#This Row],[Funding]],Reader[Est. Salary ($21.57/hr)]))</f>
        <v>0</v>
      </c>
      <c r="E22" s="24">
        <f>Summary5[[#This Row],[TA Estimate]]+Summary5[[#This Row],[Reader Estimate]]</f>
        <v>0</v>
      </c>
    </row>
    <row r="23" spans="1:5" x14ac:dyDescent="0.25">
      <c r="A23" s="23" t="str">
        <f>IFERROR(INDEX(Funding[Fund Name],ROW()-3,1),"")</f>
        <v/>
      </c>
      <c r="B23" s="24">
        <f>IF(Summary5[[#This Row],[Funding]]="",0,SUMIF(TA[Funding],Summary5[[#This Row],[Funding]],TA[Est. Salary]))</f>
        <v>0</v>
      </c>
      <c r="C23" s="38" t="str">
        <f>IFERROR(IF(Summary5[[#This Row],[TA Estimate]]=0,"",Summary5[[#This Row],[TA Estimate]]/TARate),"")</f>
        <v/>
      </c>
      <c r="D23" s="25">
        <f>IF(Summary5[[#This Row],[Funding]]="",0,SUMIF(Reader[Funding],Summary5[[#This Row],[Funding]],Reader[Est. Salary ($21.57/hr)]))</f>
        <v>0</v>
      </c>
      <c r="E23" s="24">
        <f>Summary5[[#This Row],[TA Estimate]]+Summary5[[#This Row],[Reader Estimate]]</f>
        <v>0</v>
      </c>
    </row>
    <row r="24" spans="1:5" x14ac:dyDescent="0.25">
      <c r="A24" s="23" t="str">
        <f>IFERROR(INDEX(Funding[Fund Name],ROW()-3,1),"")</f>
        <v/>
      </c>
      <c r="B24" s="24">
        <f>IF(Summary5[[#This Row],[Funding]]="",0,SUMIF(TA[Funding],Summary5[[#This Row],[Funding]],TA[Est. Salary]))</f>
        <v>0</v>
      </c>
      <c r="C24" s="38" t="str">
        <f>IFERROR(IF(Summary5[[#This Row],[TA Estimate]]=0,"",Summary5[[#This Row],[TA Estimate]]/TARate),"")</f>
        <v/>
      </c>
      <c r="D24" s="25">
        <f>IF(Summary5[[#This Row],[Funding]]="",0,SUMIF(Reader[Funding],Summary5[[#This Row],[Funding]],Reader[Est. Salary ($21.57/hr)]))</f>
        <v>0</v>
      </c>
      <c r="E24" s="24">
        <f>Summary5[[#This Row],[TA Estimate]]+Summary5[[#This Row],[Reader Estimate]]</f>
        <v>0</v>
      </c>
    </row>
    <row r="25" spans="1:5" x14ac:dyDescent="0.25">
      <c r="A25" s="23" t="str">
        <f>IFERROR(INDEX(Funding[Fund Name],ROW()-3,1),"")</f>
        <v/>
      </c>
      <c r="B25" s="24">
        <f>IF(Summary5[[#This Row],[Funding]]="",0,SUMIF(TA[Funding],Summary5[[#This Row],[Funding]],TA[Est. Salary]))</f>
        <v>0</v>
      </c>
      <c r="C25" s="38" t="str">
        <f>IFERROR(IF(Summary5[[#This Row],[TA Estimate]]=0,"",Summary5[[#This Row],[TA Estimate]]/TARate),"")</f>
        <v/>
      </c>
      <c r="D25" s="25">
        <f>IF(Summary5[[#This Row],[Funding]]="",0,SUMIF(Reader[Funding],Summary5[[#This Row],[Funding]],Reader[Est. Salary ($21.57/hr)]))</f>
        <v>0</v>
      </c>
      <c r="E25" s="24">
        <f>Summary5[[#This Row],[TA Estimate]]+Summary5[[#This Row],[Reader Estimate]]</f>
        <v>0</v>
      </c>
    </row>
    <row r="26" spans="1:5" x14ac:dyDescent="0.25">
      <c r="A26" s="23" t="str">
        <f>IFERROR(INDEX(Funding[Fund Name],ROW()-3,1),"")</f>
        <v/>
      </c>
      <c r="B26" s="24">
        <f>IF(Summary5[[#This Row],[Funding]]="",0,SUMIF(TA[Funding],Summary5[[#This Row],[Funding]],TA[Est. Salary]))</f>
        <v>0</v>
      </c>
      <c r="C26" s="38" t="str">
        <f>IFERROR(IF(Summary5[[#This Row],[TA Estimate]]=0,"",Summary5[[#This Row],[TA Estimate]]/TARate),"")</f>
        <v/>
      </c>
      <c r="D26" s="25">
        <f>IF(Summary5[[#This Row],[Funding]]="",0,SUMIF(Reader[Funding],Summary5[[#This Row],[Funding]],Reader[Est. Salary ($21.57/hr)]))</f>
        <v>0</v>
      </c>
      <c r="E26" s="24">
        <f>Summary5[[#This Row],[TA Estimate]]+Summary5[[#This Row],[Reader Estimate]]</f>
        <v>0</v>
      </c>
    </row>
    <row r="27" spans="1:5" x14ac:dyDescent="0.25">
      <c r="A27" s="23" t="str">
        <f>IFERROR(INDEX(Funding[Fund Name],ROW()-3,1),"")</f>
        <v/>
      </c>
      <c r="B27" s="24">
        <f>IF(Summary5[[#This Row],[Funding]]="",0,SUMIF(TA[Funding],Summary5[[#This Row],[Funding]],TA[Est. Salary]))</f>
        <v>0</v>
      </c>
      <c r="C27" s="38" t="str">
        <f>IFERROR(IF(Summary5[[#This Row],[TA Estimate]]=0,"",Summary5[[#This Row],[TA Estimate]]/TARate),"")</f>
        <v/>
      </c>
      <c r="D27" s="25">
        <f>IF(Summary5[[#This Row],[Funding]]="",0,SUMIF(Reader[Funding],Summary5[[#This Row],[Funding]],Reader[Est. Salary ($21.57/hr)]))</f>
        <v>0</v>
      </c>
      <c r="E27" s="24">
        <f>Summary5[[#This Row],[TA Estimate]]+Summary5[[#This Row],[Reader Estimate]]</f>
        <v>0</v>
      </c>
    </row>
    <row r="28" spans="1:5" x14ac:dyDescent="0.25">
      <c r="A28" s="23" t="str">
        <f>IFERROR(INDEX(Funding[Fund Name],ROW()-3,1),"")</f>
        <v/>
      </c>
      <c r="B28" s="24">
        <f>IF(Summary5[[#This Row],[Funding]]="",0,SUMIF(TA[Funding],Summary5[[#This Row],[Funding]],TA[Est. Salary]))</f>
        <v>0</v>
      </c>
      <c r="C28" s="38" t="str">
        <f>IFERROR(IF(Summary5[[#This Row],[TA Estimate]]=0,"",Summary5[[#This Row],[TA Estimate]]/TARate),"")</f>
        <v/>
      </c>
      <c r="D28" s="25">
        <f>IF(Summary5[[#This Row],[Funding]]="",0,SUMIF(Reader[Funding],Summary5[[#This Row],[Funding]],Reader[Est. Salary ($21.57/hr)]))</f>
        <v>0</v>
      </c>
      <c r="E28" s="24">
        <f>Summary5[[#This Row],[TA Estimate]]+Summary5[[#This Row],[Reader Estimate]]</f>
        <v>0</v>
      </c>
    </row>
    <row r="29" spans="1:5" x14ac:dyDescent="0.25">
      <c r="A29" s="23" t="str">
        <f>IFERROR(INDEX(Funding[Fund Name],ROW()-3,1),"")</f>
        <v/>
      </c>
      <c r="B29" s="24">
        <f>IF(Summary5[[#This Row],[Funding]]="",0,SUMIF(TA[Funding],Summary5[[#This Row],[Funding]],TA[Est. Salary]))</f>
        <v>0</v>
      </c>
      <c r="C29" s="38" t="str">
        <f>IFERROR(IF(Summary5[[#This Row],[TA Estimate]]=0,"",Summary5[[#This Row],[TA Estimate]]/TARate),"")</f>
        <v/>
      </c>
      <c r="D29" s="25">
        <f>IF(Summary5[[#This Row],[Funding]]="",0,SUMIF(Reader[Funding],Summary5[[#This Row],[Funding]],Reader[Est. Salary ($21.57/hr)]))</f>
        <v>0</v>
      </c>
      <c r="E29" s="24">
        <f>Summary5[[#This Row],[TA Estimate]]+Summary5[[#This Row],[Reader Estimate]]</f>
        <v>0</v>
      </c>
    </row>
    <row r="30" spans="1:5" x14ac:dyDescent="0.25">
      <c r="A30" s="23" t="str">
        <f>IFERROR(INDEX(Funding[Fund Name],ROW()-3,1),"")</f>
        <v/>
      </c>
      <c r="B30" s="24">
        <f>IF(Summary5[[#This Row],[Funding]]="",0,SUMIF(TA[Funding],Summary5[[#This Row],[Funding]],TA[Est. Salary]))</f>
        <v>0</v>
      </c>
      <c r="C30" s="38" t="str">
        <f>IFERROR(IF(Summary5[[#This Row],[TA Estimate]]=0,"",Summary5[[#This Row],[TA Estimate]]/TARate),"")</f>
        <v/>
      </c>
      <c r="D30" s="25">
        <f>IF(Summary5[[#This Row],[Funding]]="",0,SUMIF(Reader[Funding],Summary5[[#This Row],[Funding]],Reader[Est. Salary ($21.57/hr)]))</f>
        <v>0</v>
      </c>
      <c r="E30" s="24">
        <f>Summary5[[#This Row],[TA Estimate]]+Summary5[[#This Row],[Reader Estimate]]</f>
        <v>0</v>
      </c>
    </row>
    <row r="31" spans="1:5" x14ac:dyDescent="0.25">
      <c r="A31" s="23" t="str">
        <f>IFERROR(INDEX(Funding[Fund Name],ROW()-3,1),"")</f>
        <v/>
      </c>
      <c r="B31" s="24">
        <f>IF(Summary5[[#This Row],[Funding]]="",0,SUMIF(TA[Funding],Summary5[[#This Row],[Funding]],TA[Est. Salary]))</f>
        <v>0</v>
      </c>
      <c r="C31" s="38" t="str">
        <f>IFERROR(IF(Summary5[[#This Row],[TA Estimate]]=0,"",Summary5[[#This Row],[TA Estimate]]/TARate),"")</f>
        <v/>
      </c>
      <c r="D31" s="25">
        <f>IF(Summary5[[#This Row],[Funding]]="",0,SUMIF(Reader[Funding],Summary5[[#This Row],[Funding]],Reader[Est. Salary ($21.57/hr)]))</f>
        <v>0</v>
      </c>
      <c r="E31" s="24">
        <f>Summary5[[#This Row],[TA Estimate]]+Summary5[[#This Row],[Reader Estimate]]</f>
        <v>0</v>
      </c>
    </row>
    <row r="32" spans="1:5" x14ac:dyDescent="0.25">
      <c r="A32" s="23" t="str">
        <f>IFERROR(INDEX(Funding[Fund Name],ROW()-3,1),"")</f>
        <v/>
      </c>
      <c r="B32" s="24">
        <f>IF(Summary5[[#This Row],[Funding]]="",0,SUMIF(TA[Funding],Summary5[[#This Row],[Funding]],TA[Est. Salary]))</f>
        <v>0</v>
      </c>
      <c r="C32" s="38" t="str">
        <f>IFERROR(IF(Summary5[[#This Row],[TA Estimate]]=0,"",Summary5[[#This Row],[TA Estimate]]/TARate),"")</f>
        <v/>
      </c>
      <c r="D32" s="25">
        <f>IF(Summary5[[#This Row],[Funding]]="",0,SUMIF(Reader[Funding],Summary5[[#This Row],[Funding]],Reader[Est. Salary ($21.57/hr)]))</f>
        <v>0</v>
      </c>
      <c r="E32" s="24">
        <f>Summary5[[#This Row],[TA Estimate]]+Summary5[[#This Row],[Reader Estimate]]</f>
        <v>0</v>
      </c>
    </row>
    <row r="33" spans="1:5" x14ac:dyDescent="0.25">
      <c r="A33" s="26" t="str">
        <f>IFERROR(INDEX(Funding[Fund Name],ROW()-3,1),"")</f>
        <v/>
      </c>
      <c r="B33" s="27">
        <f>IF(Summary5[[#This Row],[Funding]]="",0,SUMIF(TA[Funding],Summary5[[#This Row],[Funding]],TA[Est. Salary]))</f>
        <v>0</v>
      </c>
      <c r="C33" s="39" t="str">
        <f>IFERROR(IF(Summary5[[#This Row],[TA Estimate]]=0,"",Summary5[[#This Row],[TA Estimate]]/TARate),"")</f>
        <v/>
      </c>
      <c r="D33" s="28">
        <f>IF(Summary5[[#This Row],[Funding]]="",0,SUMIF(Reader[Funding],Summary5[[#This Row],[Funding]],Reader[Est. Salary ($21.57/hr)]))</f>
        <v>0</v>
      </c>
      <c r="E33" s="27">
        <f>Summary5[[#This Row],[TA Estimate]]+Summary5[[#This Row],[Reader Estimate]]</f>
        <v>0</v>
      </c>
    </row>
    <row r="34" spans="1:5" x14ac:dyDescent="0.25">
      <c r="A34" s="34"/>
      <c r="B34" s="35">
        <f>SUBTOTAL(109,Summary5[TA Estimate])</f>
        <v>172610</v>
      </c>
      <c r="C34" s="42">
        <f>SUBTOTAL(109,Summary5[TA FTE])</f>
        <v>4.21</v>
      </c>
      <c r="D34" s="35">
        <f>SUBTOTAL(109,Summary5[Reader Estimate])</f>
        <v>1294.2</v>
      </c>
      <c r="E34" s="35">
        <f>SUBTOTAL(109,Summary5[Total Estimate])</f>
        <v>173904.2</v>
      </c>
    </row>
  </sheetData>
  <sheetProtection sheet="1" selectLockedCells="1"/>
  <mergeCells count="1">
    <mergeCell ref="A1:D1"/>
  </mergeCells>
  <conditionalFormatting sqref="A4:E33">
    <cfRule type="containsBlanks" dxfId="17" priority="2">
      <formula>LEN(TRIM(A4))=0</formula>
    </cfRule>
  </conditionalFormatting>
  <conditionalFormatting sqref="A27">
    <cfRule type="cellIs" dxfId="16" priority="1" operator="equal">
      <formula>0</formula>
    </cfRule>
  </conditionalFormatting>
  <pageMargins left="0.25" right="0.25" top="0.75" bottom="0.75" header="0.3" footer="0.3"/>
  <pageSetup fitToHeight="0" orientation="landscape" r:id="rId1"/>
  <headerFooter>
    <oddFooter>&amp;L&amp;D&amp;R&amp;Z&amp;F</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
  <sheetViews>
    <sheetView showGridLines="0" showRowColHeaders="0" zoomScaleNormal="100" workbookViewId="0">
      <selection activeCell="D38" sqref="D38"/>
    </sheetView>
  </sheetViews>
  <sheetFormatPr defaultRowHeight="15" x14ac:dyDescent="0.25"/>
  <cols>
    <col min="1" max="1" width="16" bestFit="1" customWidth="1"/>
    <col min="2" max="2" width="15.5703125" customWidth="1"/>
    <col min="3" max="3" width="42.5703125" customWidth="1"/>
    <col min="4" max="4" width="43.28515625" customWidth="1"/>
  </cols>
  <sheetData>
    <row r="1" spans="1:4" ht="19.5" x14ac:dyDescent="0.3">
      <c r="A1" s="7" t="s">
        <v>14</v>
      </c>
    </row>
    <row r="2" spans="1:4" x14ac:dyDescent="0.25">
      <c r="A2" s="2" t="s">
        <v>1</v>
      </c>
      <c r="B2" s="2" t="s">
        <v>15</v>
      </c>
      <c r="C2" s="2" t="s">
        <v>16</v>
      </c>
      <c r="D2" s="11" t="s">
        <v>17</v>
      </c>
    </row>
    <row r="3" spans="1:4" x14ac:dyDescent="0.25">
      <c r="A3" s="2" t="s">
        <v>12</v>
      </c>
      <c r="B3" s="2">
        <v>0.5</v>
      </c>
      <c r="C3" s="2" t="s">
        <v>18</v>
      </c>
      <c r="D3" s="11"/>
    </row>
    <row r="4" spans="1:4" x14ac:dyDescent="0.25">
      <c r="A4" s="2" t="s">
        <v>13</v>
      </c>
      <c r="B4" s="2">
        <v>0.5</v>
      </c>
      <c r="C4" s="2" t="s">
        <v>18</v>
      </c>
      <c r="D4" s="11"/>
    </row>
  </sheetData>
  <sheetProtection sheet="1" objects="1" scenarios="1" selectLockedCells="1" selectUnlockedCells="1"/>
  <pageMargins left="0.25" right="0.25" top="0.75" bottom="0.75" header="0.3" footer="0.3"/>
  <pageSetup fitToHeight="0" orientation="landscape" r:id="rId1"/>
  <headerFooter>
    <oddFooter>&amp;L&amp;D&amp;R&amp;Z&amp;F</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s="1" t="s">
        <v>22</v>
      </c>
    </row>
    <row r="2" spans="1:1" x14ac:dyDescent="0.25">
      <c r="A2" s="1" t="s">
        <v>23</v>
      </c>
    </row>
    <row r="3" spans="1:1" x14ac:dyDescent="0.25">
      <c r="A3" s="1" t="s">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5FA38799724344AEB4ADE5C53C151E" ma:contentTypeVersion="2" ma:contentTypeDescription="Create a new document." ma:contentTypeScope="" ma:versionID="a2d0f09b6a0438a74d7503f14afc8ec4">
  <xsd:schema xmlns:xsd="http://www.w3.org/2001/XMLSchema" xmlns:xs="http://www.w3.org/2001/XMLSchema" xmlns:p="http://schemas.microsoft.com/office/2006/metadata/properties" xmlns:ns2="ca0baa88-809e-486d-807b-0445cb0881e5" targetNamespace="http://schemas.microsoft.com/office/2006/metadata/properties" ma:root="true" ma:fieldsID="7eaade91621feeeb970db8932128f5e7" ns2:_="">
    <xsd:import namespace="ca0baa88-809e-486d-807b-0445cb0881e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baa88-809e-486d-807b-0445cb088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E790B-9589-45E5-82EC-5ADDC7216060}">
  <ds:schemaRefs>
    <ds:schemaRef ds:uri="http://schemas.microsoft.com/sharepoint/v3/contenttype/forms"/>
  </ds:schemaRefs>
</ds:datastoreItem>
</file>

<file path=customXml/itemProps2.xml><?xml version="1.0" encoding="utf-8"?>
<ds:datastoreItem xmlns:ds="http://schemas.openxmlformats.org/officeDocument/2006/customXml" ds:itemID="{673D702E-5682-4E1D-9175-50CFD5F0666D}">
  <ds:schemaRefs>
    <ds:schemaRef ds:uri="http://schemas.microsoft.com/office/2006/metadata/properties"/>
    <ds:schemaRef ds:uri="http://schemas.microsoft.com/office/2006/documentManagement/types"/>
    <ds:schemaRef ds:uri="ca0baa88-809e-486d-807b-0445cb0881e5"/>
    <ds:schemaRef ds:uri="http://purl.org/dc/elements/1.1/"/>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25A9C9C-8484-4286-A26F-D2B1747AE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baa88-809e-486d-807b-0445cb088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Dept Details</vt:lpstr>
      <vt:lpstr>2. TAs &amp; Readers</vt:lpstr>
      <vt:lpstr>3. Notes</vt:lpstr>
      <vt:lpstr>4. Summary - Course</vt:lpstr>
      <vt:lpstr>5. Summary - Funding</vt:lpstr>
      <vt:lpstr>6. Calculations</vt:lpstr>
      <vt:lpstr>DeptName</vt:lpstr>
      <vt:lpstr>DropFund</vt:lpstr>
      <vt:lpstr>'3. Notes'!Print_Area</vt:lpstr>
      <vt:lpstr>TARate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Mahr</dc:creator>
  <cp:keywords/>
  <dc:description/>
  <cp:lastModifiedBy>Amanda Mahr</cp:lastModifiedBy>
  <cp:revision/>
  <cp:lastPrinted>2020-01-13T18:29:52Z</cp:lastPrinted>
  <dcterms:created xsi:type="dcterms:W3CDTF">2018-05-10T19:23:57Z</dcterms:created>
  <dcterms:modified xsi:type="dcterms:W3CDTF">2020-01-14T19:42:58Z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0x0101004C5FA38799724344AEB4ADE5C53C151E</vt:lpwstr>
  </property>
</Properties>
</file>