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drawings/drawing5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CADEMIC_ADMINISTRATION\Summer\Summer Sessions 2023\"/>
    </mc:Choice>
  </mc:AlternateContent>
  <xr:revisionPtr revIDLastSave="0" documentId="13_ncr:1_{0F079326-3E3C-4349-B32C-F0674DA8C3F6}" xr6:coauthVersionLast="47" xr6:coauthVersionMax="47" xr10:uidLastSave="{00000000-0000-0000-0000-000000000000}"/>
  <bookViews>
    <workbookView xWindow="25080" yWindow="360" windowWidth="19440" windowHeight="15000" tabRatio="582" xr2:uid="{00000000-000D-0000-FFFF-FFFF00000000}"/>
  </bookViews>
  <sheets>
    <sheet name="1. Course Input" sheetId="7" r:id="rId1"/>
    <sheet name="2. Appt &amp; Expense Input" sheetId="16" r:id="rId2"/>
    <sheet name="3. Financial Summary" sheetId="13" r:id="rId3"/>
    <sheet name="4. Notes" sheetId="17" r:id="rId4"/>
    <sheet name="5. Summer Session Codes" sheetId="15" r:id="rId5"/>
  </sheets>
  <definedNames>
    <definedName name="_xlnm._FilterDatabase" localSheetId="0" hidden="1">'1. Course Input'!#REF!</definedName>
    <definedName name="Courses">CourseList[Course Number &amp; Name]</definedName>
    <definedName name="DeptContact" localSheetId="0">'1. Course Input'!$B$5</definedName>
    <definedName name="DeptName" localSheetId="0">Dept[[#This Row],[Column2]]</definedName>
    <definedName name="DropdownCourse">OFFSET(CourseList[[#Headers],[Course Number &amp; Name]],1,0,MATCH("zzzzz",CourseList[Course Number &amp; Name],1),1)</definedName>
    <definedName name="NameEntry">'1. Course Input'!$B$4</definedName>
    <definedName name="NoCourse">'2. Appt &amp; Expense Input'!$B$35</definedName>
    <definedName name="_xlnm.Print_Area" localSheetId="0">'1. Course Input'!$A$1:$E$34</definedName>
    <definedName name="_xlnm.Print_Area" localSheetId="1">'2. Appt &amp; Expense Input'!$A$1:$H$36</definedName>
    <definedName name="_xlnm.Print_Area" localSheetId="2">'3. Financial Summary'!$A$1:$J$32</definedName>
    <definedName name="_xlnm.Print_Area" localSheetId="3">'4. Notes'!$A$1:$A$13</definedName>
    <definedName name="_xlnm.Print_Area" localSheetId="4">'5. Summer Session Codes'!$A$1:$E$102</definedName>
    <definedName name="Subsidy">'2. Appt &amp; Expense Input'!$B$34</definedName>
    <definedName name="Summerchair" localSheetId="0">'1. Course Input'!$B$6</definedName>
    <definedName name="Surplus">CourseSummary3[[#Totals],[Estimated Surplus]]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5" l="1"/>
  <c r="F9" i="15"/>
  <c r="F10" i="15"/>
  <c r="F11" i="15"/>
  <c r="F12" i="15"/>
  <c r="F13" i="15"/>
  <c r="F14" i="15"/>
  <c r="F15" i="15"/>
  <c r="F5" i="15"/>
  <c r="F6" i="15"/>
  <c r="F7" i="15"/>
  <c r="F4" i="15"/>
  <c r="A2" i="17" l="1"/>
  <c r="B2" i="13"/>
  <c r="A2" i="7"/>
  <c r="A2" i="16"/>
  <c r="B30" i="13" l="1"/>
  <c r="F28" i="15"/>
  <c r="F27" i="15"/>
  <c r="F40" i="15"/>
  <c r="F113" i="15"/>
  <c r="F26" i="15"/>
  <c r="F39" i="15"/>
  <c r="F51" i="15"/>
  <c r="F25" i="15"/>
  <c r="F38" i="15"/>
  <c r="F50" i="15"/>
  <c r="F61" i="15"/>
  <c r="F24" i="15"/>
  <c r="G9" i="16" s="1"/>
  <c r="H9" i="16" s="1"/>
  <c r="F37" i="15"/>
  <c r="F49" i="15"/>
  <c r="F60" i="15"/>
  <c r="F70" i="15"/>
  <c r="F23" i="15"/>
  <c r="F36" i="15"/>
  <c r="F48" i="15"/>
  <c r="F59" i="15"/>
  <c r="F69" i="15"/>
  <c r="F78" i="15"/>
  <c r="F112" i="15"/>
  <c r="G13" i="16" s="1"/>
  <c r="F22" i="15"/>
  <c r="F35" i="15"/>
  <c r="F47" i="15"/>
  <c r="F58" i="15"/>
  <c r="F68" i="15"/>
  <c r="F77" i="15"/>
  <c r="F85" i="15"/>
  <c r="F21" i="15"/>
  <c r="F34" i="15"/>
  <c r="F46" i="15"/>
  <c r="F57" i="15"/>
  <c r="F67" i="15"/>
  <c r="F76" i="15"/>
  <c r="F84" i="15"/>
  <c r="F91" i="15"/>
  <c r="F111" i="15"/>
  <c r="F20" i="15"/>
  <c r="F33" i="15"/>
  <c r="F45" i="15"/>
  <c r="F56" i="15"/>
  <c r="F66" i="15"/>
  <c r="G8" i="16" s="1"/>
  <c r="H8" i="16" s="1"/>
  <c r="F75" i="15"/>
  <c r="F83" i="15"/>
  <c r="F90" i="15"/>
  <c r="F96" i="15"/>
  <c r="F110" i="15"/>
  <c r="F19" i="15"/>
  <c r="F32" i="15"/>
  <c r="F44" i="15"/>
  <c r="F55" i="15"/>
  <c r="F65" i="15"/>
  <c r="F74" i="15"/>
  <c r="F82" i="15"/>
  <c r="F89" i="15"/>
  <c r="F95" i="15"/>
  <c r="F100" i="15"/>
  <c r="F109" i="15"/>
  <c r="G15" i="16" s="1"/>
  <c r="H15" i="16" s="1"/>
  <c r="F18" i="15"/>
  <c r="G6" i="16" s="1"/>
  <c r="H6" i="16" s="1"/>
  <c r="F31" i="15"/>
  <c r="F43" i="15"/>
  <c r="F54" i="15"/>
  <c r="F64" i="15"/>
  <c r="F73" i="15"/>
  <c r="F81" i="15"/>
  <c r="F88" i="15"/>
  <c r="F94" i="15"/>
  <c r="F99" i="15"/>
  <c r="F103" i="15"/>
  <c r="F108" i="15"/>
  <c r="F17" i="15"/>
  <c r="F30" i="15"/>
  <c r="F42" i="15"/>
  <c r="F53" i="15"/>
  <c r="F63" i="15"/>
  <c r="G5" i="16" s="1"/>
  <c r="H5" i="16" s="1"/>
  <c r="F72" i="15"/>
  <c r="F80" i="15"/>
  <c r="F87" i="15"/>
  <c r="F93" i="15"/>
  <c r="F98" i="15"/>
  <c r="F102" i="15"/>
  <c r="F105" i="15"/>
  <c r="F16" i="15"/>
  <c r="F29" i="15"/>
  <c r="F41" i="15"/>
  <c r="F52" i="15"/>
  <c r="F62" i="15"/>
  <c r="F71" i="15"/>
  <c r="F79" i="15"/>
  <c r="F86" i="15"/>
  <c r="F92" i="15"/>
  <c r="F97" i="15"/>
  <c r="F101" i="15"/>
  <c r="F104" i="15"/>
  <c r="F106" i="15"/>
  <c r="F107" i="15"/>
  <c r="F114" i="15"/>
  <c r="F115" i="15" l="1"/>
  <c r="G16" i="16"/>
  <c r="G14" i="16"/>
  <c r="G7" i="16"/>
  <c r="H7" i="16" s="1"/>
  <c r="D24" i="16" l="1"/>
  <c r="C29" i="13"/>
  <c r="E29" i="13"/>
  <c r="F29" i="13"/>
  <c r="G29" i="13"/>
  <c r="H29" i="13" s="1"/>
  <c r="C29" i="16" l="1"/>
  <c r="E21" i="16"/>
  <c r="G17" i="16" l="1"/>
  <c r="G10" i="16"/>
  <c r="F20" i="16"/>
  <c r="F21" i="16" l="1"/>
  <c r="D28" i="16"/>
  <c r="B4" i="13"/>
  <c r="H30" i="13" l="1"/>
  <c r="G4" i="13"/>
  <c r="H4" i="13" s="1"/>
  <c r="G30" i="13"/>
  <c r="F4" i="13"/>
  <c r="F30" i="13"/>
  <c r="E4" i="13"/>
  <c r="E30" i="13"/>
  <c r="D30" i="13"/>
  <c r="C4" i="13" l="1"/>
  <c r="J30" i="13" l="1"/>
  <c r="H16" i="16" l="1"/>
  <c r="H14" i="16"/>
  <c r="D29" i="16" l="1"/>
  <c r="E24" i="16"/>
  <c r="B35" i="16" s="1"/>
  <c r="H13" i="16"/>
  <c r="H17" i="16" s="1"/>
  <c r="D29" i="13" l="1"/>
  <c r="B29" i="13"/>
  <c r="E25" i="16"/>
  <c r="I29" i="13" l="1"/>
  <c r="J29" i="13"/>
  <c r="D4" i="13"/>
  <c r="I4" i="13" s="1"/>
  <c r="D33" i="16"/>
  <c r="J4" i="13" l="1"/>
  <c r="A5" i="13"/>
  <c r="B5" i="13" s="1"/>
  <c r="E34" i="7"/>
  <c r="C34" i="7"/>
  <c r="D5" i="13" l="1"/>
  <c r="I5" i="13" s="1"/>
  <c r="G5" i="13"/>
  <c r="H5" i="13" s="1"/>
  <c r="F5" i="13"/>
  <c r="E5" i="13"/>
  <c r="C5" i="13"/>
  <c r="A6" i="13"/>
  <c r="B6" i="13" s="1"/>
  <c r="D6" i="13" l="1"/>
  <c r="I6" i="13" s="1"/>
  <c r="J5" i="13"/>
  <c r="G6" i="13"/>
  <c r="H6" i="13" s="1"/>
  <c r="F6" i="13"/>
  <c r="E6" i="13"/>
  <c r="C6" i="13"/>
  <c r="A7" i="13"/>
  <c r="B7" i="13" s="1"/>
  <c r="D7" i="13" l="1"/>
  <c r="I7" i="13" s="1"/>
  <c r="G7" i="13"/>
  <c r="H7" i="13" s="1"/>
  <c r="F7" i="13"/>
  <c r="E7" i="13"/>
  <c r="C7" i="13"/>
  <c r="A8" i="13"/>
  <c r="B8" i="13" s="1"/>
  <c r="D8" i="13" l="1"/>
  <c r="I8" i="13" s="1"/>
  <c r="G8" i="13"/>
  <c r="H8" i="13" s="1"/>
  <c r="F8" i="13"/>
  <c r="E8" i="13"/>
  <c r="J7" i="13"/>
  <c r="J6" i="13"/>
  <c r="C8" i="13"/>
  <c r="A9" i="13"/>
  <c r="B9" i="13" s="1"/>
  <c r="D9" i="13" l="1"/>
  <c r="I9" i="13" s="1"/>
  <c r="G9" i="13"/>
  <c r="H9" i="13" s="1"/>
  <c r="F9" i="13"/>
  <c r="E9" i="13"/>
  <c r="J8" i="13"/>
  <c r="C9" i="13"/>
  <c r="A10" i="13"/>
  <c r="B10" i="13" s="1"/>
  <c r="D10" i="13" l="1"/>
  <c r="I10" i="13" s="1"/>
  <c r="J9" i="13"/>
  <c r="G10" i="13"/>
  <c r="H10" i="13" s="1"/>
  <c r="F10" i="13"/>
  <c r="E10" i="13"/>
  <c r="C10" i="13"/>
  <c r="A11" i="13"/>
  <c r="B11" i="13" s="1"/>
  <c r="D11" i="13" l="1"/>
  <c r="I11" i="13" s="1"/>
  <c r="G11" i="13"/>
  <c r="H11" i="13" s="1"/>
  <c r="F11" i="13"/>
  <c r="E11" i="13"/>
  <c r="J10" i="13"/>
  <c r="C11" i="13"/>
  <c r="A12" i="13"/>
  <c r="B12" i="13" s="1"/>
  <c r="D12" i="13" l="1"/>
  <c r="I12" i="13" s="1"/>
  <c r="G12" i="13"/>
  <c r="H12" i="13" s="1"/>
  <c r="F12" i="13"/>
  <c r="E12" i="13"/>
  <c r="J11" i="13"/>
  <c r="C12" i="13"/>
  <c r="A13" i="13"/>
  <c r="B13" i="13" s="1"/>
  <c r="D13" i="13" l="1"/>
  <c r="I13" i="13" s="1"/>
  <c r="G13" i="13"/>
  <c r="H13" i="13" s="1"/>
  <c r="F13" i="13"/>
  <c r="E13" i="13"/>
  <c r="C13" i="13"/>
  <c r="A14" i="13"/>
  <c r="B14" i="13" s="1"/>
  <c r="D14" i="13" l="1"/>
  <c r="I14" i="13" s="1"/>
  <c r="J12" i="13"/>
  <c r="G14" i="13"/>
  <c r="H14" i="13" s="1"/>
  <c r="F14" i="13"/>
  <c r="E14" i="13"/>
  <c r="J13" i="13"/>
  <c r="C14" i="13"/>
  <c r="A15" i="13"/>
  <c r="B15" i="13" s="1"/>
  <c r="D15" i="13" l="1"/>
  <c r="I15" i="13" s="1"/>
  <c r="G15" i="13"/>
  <c r="H15" i="13" s="1"/>
  <c r="F15" i="13"/>
  <c r="E15" i="13"/>
  <c r="C15" i="13"/>
  <c r="A16" i="13"/>
  <c r="B16" i="13" s="1"/>
  <c r="D16" i="13" l="1"/>
  <c r="I16" i="13" s="1"/>
  <c r="J14" i="13"/>
  <c r="G16" i="13"/>
  <c r="H16" i="13" s="1"/>
  <c r="F16" i="13"/>
  <c r="E16" i="13"/>
  <c r="J15" i="13"/>
  <c r="C16" i="13"/>
  <c r="A17" i="13"/>
  <c r="B17" i="13" s="1"/>
  <c r="D17" i="13" l="1"/>
  <c r="I17" i="13" s="1"/>
  <c r="G17" i="13"/>
  <c r="H17" i="13" s="1"/>
  <c r="F17" i="13"/>
  <c r="E17" i="13"/>
  <c r="J16" i="13"/>
  <c r="C17" i="13"/>
  <c r="A18" i="13"/>
  <c r="B18" i="13" s="1"/>
  <c r="D18" i="13" l="1"/>
  <c r="I18" i="13" s="1"/>
  <c r="G18" i="13"/>
  <c r="H18" i="13" s="1"/>
  <c r="F18" i="13"/>
  <c r="E18" i="13"/>
  <c r="C18" i="13"/>
  <c r="A19" i="13"/>
  <c r="B19" i="13" s="1"/>
  <c r="D19" i="13" l="1"/>
  <c r="I19" i="13" s="1"/>
  <c r="J17" i="13"/>
  <c r="G19" i="13"/>
  <c r="H19" i="13" s="1"/>
  <c r="F19" i="13"/>
  <c r="E19" i="13"/>
  <c r="J18" i="13"/>
  <c r="C19" i="13"/>
  <c r="A20" i="13"/>
  <c r="B20" i="13" s="1"/>
  <c r="D20" i="13" l="1"/>
  <c r="I20" i="13" s="1"/>
  <c r="G20" i="13"/>
  <c r="H20" i="13" s="1"/>
  <c r="F20" i="13"/>
  <c r="E20" i="13"/>
  <c r="J19" i="13"/>
  <c r="C20" i="13"/>
  <c r="A21" i="13"/>
  <c r="B21" i="13" s="1"/>
  <c r="D21" i="13" l="1"/>
  <c r="I21" i="13" s="1"/>
  <c r="G21" i="13"/>
  <c r="H21" i="13" s="1"/>
  <c r="F21" i="13"/>
  <c r="E21" i="13"/>
  <c r="J20" i="13"/>
  <c r="C21" i="13"/>
  <c r="A22" i="13"/>
  <c r="B22" i="13" s="1"/>
  <c r="D22" i="13" l="1"/>
  <c r="I22" i="13" s="1"/>
  <c r="G22" i="13"/>
  <c r="H22" i="13" s="1"/>
  <c r="F22" i="13"/>
  <c r="E22" i="13"/>
  <c r="J21" i="13"/>
  <c r="C22" i="13"/>
  <c r="A23" i="13"/>
  <c r="B23" i="13" s="1"/>
  <c r="D23" i="13" l="1"/>
  <c r="I23" i="13" s="1"/>
  <c r="G23" i="13"/>
  <c r="H23" i="13" s="1"/>
  <c r="F23" i="13"/>
  <c r="E23" i="13"/>
  <c r="J22" i="13"/>
  <c r="C23" i="13"/>
  <c r="A24" i="13"/>
  <c r="B24" i="13" s="1"/>
  <c r="D24" i="13" l="1"/>
  <c r="I24" i="13" s="1"/>
  <c r="G24" i="13"/>
  <c r="H24" i="13" s="1"/>
  <c r="F24" i="13"/>
  <c r="E24" i="13"/>
  <c r="J23" i="13"/>
  <c r="C24" i="13"/>
  <c r="A25" i="13"/>
  <c r="B25" i="13" s="1"/>
  <c r="H10" i="16"/>
  <c r="D25" i="13" l="1"/>
  <c r="I25" i="13" s="1"/>
  <c r="G25" i="13"/>
  <c r="H25" i="13" s="1"/>
  <c r="F25" i="13"/>
  <c r="E25" i="13"/>
  <c r="J24" i="13"/>
  <c r="C25" i="13"/>
  <c r="A26" i="13"/>
  <c r="B26" i="13" s="1"/>
  <c r="D26" i="13" l="1"/>
  <c r="I26" i="13" s="1"/>
  <c r="G26" i="13"/>
  <c r="H26" i="13" s="1"/>
  <c r="F26" i="13"/>
  <c r="E26" i="13"/>
  <c r="J25" i="13"/>
  <c r="C26" i="13"/>
  <c r="A27" i="13"/>
  <c r="B27" i="13" s="1"/>
  <c r="D27" i="13" l="1"/>
  <c r="I27" i="13" s="1"/>
  <c r="G27" i="13"/>
  <c r="H27" i="13" s="1"/>
  <c r="F27" i="13"/>
  <c r="E27" i="13"/>
  <c r="J26" i="13"/>
  <c r="C27" i="13"/>
  <c r="A28" i="13"/>
  <c r="B28" i="13" s="1"/>
  <c r="D28" i="13" l="1"/>
  <c r="I28" i="13" s="1"/>
  <c r="I31" i="13" s="1"/>
  <c r="G28" i="13"/>
  <c r="H28" i="13" s="1"/>
  <c r="F28" i="13"/>
  <c r="E28" i="13"/>
  <c r="J27" i="13"/>
  <c r="C28" i="13"/>
  <c r="D31" i="13" l="1"/>
  <c r="G31" i="13"/>
  <c r="H31" i="13"/>
  <c r="J28" i="13" l="1"/>
  <c r="J31" i="13" s="1"/>
</calcChain>
</file>

<file path=xl/sharedStrings.xml><?xml version="1.0" encoding="utf-8"?>
<sst xmlns="http://schemas.openxmlformats.org/spreadsheetml/2006/main" count="296" uniqueCount="190">
  <si>
    <t>1) Department Input</t>
  </si>
  <si>
    <t>Department Name</t>
  </si>
  <si>
    <t>Summer Term Chair</t>
  </si>
  <si>
    <t>Administrative Contact(s)</t>
  </si>
  <si>
    <t>Erin Wilson</t>
  </si>
  <si>
    <t>Course Number &amp; Name</t>
  </si>
  <si>
    <t>Instruction Mode</t>
  </si>
  <si>
    <t>Est Enrollment</t>
  </si>
  <si>
    <t>Credit Range</t>
  </si>
  <si>
    <t>Est Paid Credits</t>
  </si>
  <si>
    <t>101 Intro to X</t>
  </si>
  <si>
    <t>3</t>
  </si>
  <si>
    <t>150 X for Non-Majors</t>
  </si>
  <si>
    <t>Online only</t>
  </si>
  <si>
    <t>301 Intermediate X</t>
  </si>
  <si>
    <t>340 Applications of X</t>
  </si>
  <si>
    <t>350 Intermediate Y</t>
  </si>
  <si>
    <t>150 X for Non-Majors, online course development</t>
  </si>
  <si>
    <t>3) Faculty, Academic Staff &amp; Lecturer (SA) appointments</t>
  </si>
  <si>
    <t>Course</t>
  </si>
  <si>
    <t>Session</t>
  </si>
  <si>
    <t>Funding</t>
  </si>
  <si>
    <t>Name &amp; Title</t>
  </si>
  <si>
    <t>Base Rate (9 month)</t>
  </si>
  <si>
    <t>Cost</t>
  </si>
  <si>
    <t>ZDD</t>
  </si>
  <si>
    <t>Summer Sessions</t>
  </si>
  <si>
    <t>Laura Adams, Assoc Prof</t>
  </si>
  <si>
    <t>DHH</t>
  </si>
  <si>
    <t>Janis Johnson, Lecturer SA</t>
  </si>
  <si>
    <t>ZHH</t>
  </si>
  <si>
    <t>Alex Jefferson, Assoc Prof</t>
  </si>
  <si>
    <t>4) Teaching Assisants</t>
  </si>
  <si>
    <t>TA Base Rate</t>
  </si>
  <si>
    <t>Cost w/ 5% Fringe</t>
  </si>
  <si>
    <t># of Hours</t>
  </si>
  <si>
    <t>Subsidy</t>
  </si>
  <si>
    <t>Explanation</t>
  </si>
  <si>
    <t>Lab materials</t>
  </si>
  <si>
    <t>Index</t>
  </si>
  <si>
    <t>Course Number and Name</t>
  </si>
  <si>
    <t>Estimated Costs to Summer Sessions</t>
  </si>
  <si>
    <t>Estimated Paid Credits</t>
  </si>
  <si>
    <t>Estimated Revenue</t>
  </si>
  <si>
    <t>Estimated Surplus</t>
  </si>
  <si>
    <t>Paid Credits Needed for Positive Course Contribution</t>
  </si>
  <si>
    <t>Totals</t>
  </si>
  <si>
    <t>Additional notes as needed.</t>
  </si>
  <si>
    <t>Payroll Start</t>
  </si>
  <si>
    <t>Payroll End</t>
  </si>
  <si>
    <t>Code</t>
  </si>
  <si>
    <t># of weeks</t>
  </si>
  <si>
    <t>ACC</t>
  </si>
  <si>
    <t>AKK</t>
  </si>
  <si>
    <t>CKK</t>
  </si>
  <si>
    <t>GGG</t>
  </si>
  <si>
    <t>KCC</t>
  </si>
  <si>
    <t>LBB</t>
  </si>
  <si>
    <t>ZAA</t>
  </si>
  <si>
    <t>ZCC</t>
  </si>
  <si>
    <t>ZEE</t>
  </si>
  <si>
    <t>ZFF</t>
  </si>
  <si>
    <t>ZLL</t>
  </si>
  <si>
    <t>ZNN</t>
  </si>
  <si>
    <t># of TA's</t>
  </si>
  <si>
    <t>Please provide additional narrative as needed.</t>
  </si>
  <si>
    <t>Cheryl Madison</t>
  </si>
  <si>
    <t>Target Salary</t>
  </si>
  <si>
    <t>Salary w/ 20% Fringe</t>
  </si>
  <si>
    <t>5) Other Salaries</t>
  </si>
  <si>
    <t>6) Readers</t>
  </si>
  <si>
    <t>7) Student Help</t>
  </si>
  <si>
    <t>8) Supplies &amp; Expenses</t>
  </si>
  <si>
    <t>Summer expenses w/ no course listed</t>
  </si>
  <si>
    <t>n/a</t>
  </si>
  <si>
    <t>Classroom</t>
  </si>
  <si>
    <t>Appt %</t>
  </si>
  <si>
    <t>Multiplier</t>
  </si>
  <si>
    <t>Salary</t>
  </si>
  <si>
    <t>Becky Johnson, Lecturer</t>
  </si>
  <si>
    <t>MAA</t>
  </si>
  <si>
    <t>2023 Summer Session Codes</t>
  </si>
  <si>
    <t>HRS Appt Level</t>
  </si>
  <si>
    <t>Est. Departmental Surplus</t>
  </si>
  <si>
    <t>Salary w/ 5% Fringe</t>
  </si>
  <si>
    <t>Jurassic Studies</t>
  </si>
  <si>
    <t>Harry fields, Teaching Faculty IV</t>
  </si>
  <si>
    <t>100% plus lump sum</t>
  </si>
  <si>
    <t>DCC</t>
  </si>
  <si>
    <t>EEE</t>
  </si>
  <si>
    <t>AAA</t>
  </si>
  <si>
    <t>ABB</t>
  </si>
  <si>
    <t>ADD</t>
  </si>
  <si>
    <t>AEE</t>
  </si>
  <si>
    <t>AFF</t>
  </si>
  <si>
    <t>AGG</t>
  </si>
  <si>
    <t>AHH</t>
  </si>
  <si>
    <t>AII</t>
  </si>
  <si>
    <t>AJJ</t>
  </si>
  <si>
    <t>ALL</t>
  </si>
  <si>
    <t>AMM</t>
  </si>
  <si>
    <t>BAA</t>
  </si>
  <si>
    <t>BBB</t>
  </si>
  <si>
    <t>BCC</t>
  </si>
  <si>
    <t>BDD</t>
  </si>
  <si>
    <t>BEE</t>
  </si>
  <si>
    <t>BFF</t>
  </si>
  <si>
    <t>BGG</t>
  </si>
  <si>
    <t>BHH</t>
  </si>
  <si>
    <t>BII</t>
  </si>
  <si>
    <t>BJJ</t>
  </si>
  <si>
    <t>BKK</t>
  </si>
  <si>
    <t>BLL</t>
  </si>
  <si>
    <t>CAA</t>
  </si>
  <si>
    <t>CBB</t>
  </si>
  <si>
    <t>CCC</t>
  </si>
  <si>
    <t>CDD</t>
  </si>
  <si>
    <t>CEE</t>
  </si>
  <si>
    <t>CFF</t>
  </si>
  <si>
    <t>CGG</t>
  </si>
  <si>
    <t>CHH</t>
  </si>
  <si>
    <t>CII</t>
  </si>
  <si>
    <t>CJJ</t>
  </si>
  <si>
    <t>DAA</t>
  </si>
  <si>
    <t>DBB</t>
  </si>
  <si>
    <t>DDD</t>
  </si>
  <si>
    <t>DEE</t>
  </si>
  <si>
    <t>DFF</t>
  </si>
  <si>
    <t>DGG</t>
  </si>
  <si>
    <t>DII</t>
  </si>
  <si>
    <t>DJJ</t>
  </si>
  <si>
    <t>EAA</t>
  </si>
  <si>
    <t>EBB</t>
  </si>
  <si>
    <t>ECC</t>
  </si>
  <si>
    <t>EDD</t>
  </si>
  <si>
    <t>EFF</t>
  </si>
  <si>
    <t>EGG</t>
  </si>
  <si>
    <t>EHH</t>
  </si>
  <si>
    <t>EII</t>
  </si>
  <si>
    <t>FAA</t>
  </si>
  <si>
    <t>FBB</t>
  </si>
  <si>
    <t>FCC</t>
  </si>
  <si>
    <t>FDD</t>
  </si>
  <si>
    <t>FEE</t>
  </si>
  <si>
    <t>FFF</t>
  </si>
  <si>
    <t>FGG</t>
  </si>
  <si>
    <t>FHH</t>
  </si>
  <si>
    <t>GAA</t>
  </si>
  <si>
    <t>GBB</t>
  </si>
  <si>
    <t>GCC</t>
  </si>
  <si>
    <t>GDD</t>
  </si>
  <si>
    <t>GEE</t>
  </si>
  <si>
    <t>GFF</t>
  </si>
  <si>
    <t>HAA</t>
  </si>
  <si>
    <t>HBB</t>
  </si>
  <si>
    <t>HCC</t>
  </si>
  <si>
    <t>HDD</t>
  </si>
  <si>
    <t>HEE</t>
  </si>
  <si>
    <t>HFF</t>
  </si>
  <si>
    <t>IAA</t>
  </si>
  <si>
    <t>IBB</t>
  </si>
  <si>
    <t>ICC</t>
  </si>
  <si>
    <t>IDD</t>
  </si>
  <si>
    <t>IEE</t>
  </si>
  <si>
    <t>JAA</t>
  </si>
  <si>
    <t>JBB</t>
  </si>
  <si>
    <t>JCC</t>
  </si>
  <si>
    <t>JDD</t>
  </si>
  <si>
    <t>KAA</t>
  </si>
  <si>
    <t>KBB</t>
  </si>
  <si>
    <t>LAA</t>
  </si>
  <si>
    <t>2023 Summer Budget Proposal - Financial Summary</t>
  </si>
  <si>
    <t>2023 Summer Budget Proposal - Appt &amp; Expense Input</t>
  </si>
  <si>
    <t>2023 Summer Budget Proposal - Comments</t>
  </si>
  <si>
    <t>2023 Summer Budget Proposal - Course Input</t>
  </si>
  <si>
    <t>1 week (placeholder)</t>
  </si>
  <si>
    <t>2 week (placeholder)</t>
  </si>
  <si>
    <t>3 week (placeholder)</t>
  </si>
  <si>
    <t>4 week (placeholder)</t>
  </si>
  <si>
    <t>5 week (placeholder)</t>
  </si>
  <si>
    <t>6 week (placeholder)</t>
  </si>
  <si>
    <t>7 week (placeholder)</t>
  </si>
  <si>
    <t>8 week (placeholder)</t>
  </si>
  <si>
    <t>9 week (placeholder)</t>
  </si>
  <si>
    <t>10 week (placeholder)</t>
  </si>
  <si>
    <t>11 week (placeholder)</t>
  </si>
  <si>
    <t>12 week (placeholder)</t>
  </si>
  <si>
    <t>TBD</t>
  </si>
  <si>
    <t>Other</t>
  </si>
  <si>
    <t>2) List of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</si>
</sst>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0.0%"/>
    <numFmt numFmtId="165" formatCode="0.0000"/>
    <numFmt numFmtId="166" formatCode="&quot;$&quot;#,##0.00"/>
    <numFmt numFmtId="167" formatCode="&quot;$&quot;#,##0"/>
  </numFmts>
  <fonts count="25" x14ac:knownFonts="1"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3"/>
      <color theme="3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8"/>
      <name val="Segoe UI"/>
      <family val="2"/>
    </font>
    <font>
      <sz val="10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/>
    <xf numFmtId="0" fontId="22" fillId="0" borderId="0" applyNumberForma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7" borderId="0" applyNumberFormat="0" applyBorder="0" applyAlignment="0" applyProtection="0"/>
  </cellStyleXfs>
  <cellXfs count="154">
    <xf numFmtId="0" fontId="0" fillId="0" borderId="0" xfId="0"/>
    <xf numFmtId="0" fontId="5" fillId="0" borderId="0" xfId="0" applyFont="1"/>
    <xf numFmtId="0" fontId="11" fillId="0" borderId="0" xfId="3" applyFont="1" applyFill="1" applyBorder="1" applyAlignment="1">
      <alignment vertical="top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8" xfId="0" applyNumberFormat="1" applyFont="1" applyFill="1" applyBorder="1"/>
    <xf numFmtId="0" fontId="12" fillId="0" borderId="0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horizontal="right" wrapText="1"/>
    </xf>
    <xf numFmtId="0" fontId="12" fillId="0" borderId="7" xfId="0" applyNumberFormat="1" applyFont="1" applyFill="1" applyBorder="1"/>
    <xf numFmtId="0" fontId="12" fillId="0" borderId="0" xfId="1" applyNumberFormat="1" applyFont="1" applyBorder="1" applyAlignment="1">
      <alignment wrapText="1"/>
    </xf>
    <xf numFmtId="0" fontId="12" fillId="0" borderId="9" xfId="0" applyNumberFormat="1" applyFont="1" applyFill="1" applyBorder="1"/>
    <xf numFmtId="0" fontId="14" fillId="0" borderId="0" xfId="0" applyFont="1" applyFill="1" applyBorder="1" applyAlignment="1" applyProtection="1"/>
    <xf numFmtId="0" fontId="15" fillId="0" borderId="0" xfId="0" applyFont="1" applyFill="1" applyBorder="1"/>
    <xf numFmtId="0" fontId="15" fillId="0" borderId="0" xfId="0" applyFont="1" applyFill="1" applyBorder="1" applyProtection="1"/>
    <xf numFmtId="0" fontId="9" fillId="0" borderId="0" xfId="5" applyFont="1" applyFill="1" applyBorder="1" applyProtection="1"/>
    <xf numFmtId="0" fontId="15" fillId="0" borderId="0" xfId="0" applyFont="1" applyFill="1" applyBorder="1" applyAlignment="1" applyProtection="1">
      <alignment horizontal="left" vertical="top"/>
    </xf>
    <xf numFmtId="1" fontId="15" fillId="0" borderId="0" xfId="0" applyNumberFormat="1" applyFont="1" applyFill="1" applyBorder="1" applyProtection="1">
      <protection locked="0"/>
    </xf>
    <xf numFmtId="49" fontId="15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3" applyFont="1" applyAlignme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/>
    <xf numFmtId="44" fontId="12" fillId="0" borderId="0" xfId="0" applyNumberFormat="1" applyFont="1" applyFill="1" applyProtection="1"/>
    <xf numFmtId="0" fontId="12" fillId="0" borderId="0" xfId="0" applyNumberFormat="1" applyFont="1" applyFill="1" applyAlignment="1" applyProtection="1">
      <alignment horizontal="right"/>
    </xf>
    <xf numFmtId="0" fontId="13" fillId="0" borderId="0" xfId="4" applyFont="1" applyBorder="1" applyAlignment="1" applyProtection="1"/>
    <xf numFmtId="0" fontId="12" fillId="0" borderId="0" xfId="0" applyFont="1" applyAlignment="1" applyProtection="1">
      <alignment horizontal="right"/>
    </xf>
    <xf numFmtId="0" fontId="8" fillId="0" borderId="0" xfId="5" applyBorder="1" applyAlignment="1" applyProtection="1"/>
    <xf numFmtId="0" fontId="19" fillId="0" borderId="0" xfId="7" applyFont="1" applyFill="1" applyAlignment="1">
      <alignment wrapText="1"/>
    </xf>
    <xf numFmtId="0" fontId="10" fillId="0" borderId="0" xfId="7" applyFont="1" applyFill="1" applyBorder="1" applyAlignment="1" applyProtection="1">
      <alignment vertical="top"/>
    </xf>
    <xf numFmtId="44" fontId="12" fillId="0" borderId="0" xfId="0" applyNumberFormat="1" applyFont="1" applyFill="1" applyAlignment="1" applyProtection="1"/>
    <xf numFmtId="44" fontId="12" fillId="0" borderId="0" xfId="0" applyNumberFormat="1" applyFont="1" applyFill="1" applyAlignment="1" applyProtection="1">
      <alignment wrapText="1"/>
    </xf>
    <xf numFmtId="0" fontId="12" fillId="0" borderId="0" xfId="0" applyFont="1" applyFill="1" applyBorder="1" applyAlignment="1" applyProtection="1"/>
    <xf numFmtId="44" fontId="12" fillId="0" borderId="0" xfId="0" applyNumberFormat="1" applyFont="1" applyFill="1" applyBorder="1" applyAlignment="1" applyProtection="1"/>
    <xf numFmtId="0" fontId="12" fillId="0" borderId="0" xfId="0" applyFont="1" applyAlignment="1" applyProtection="1">
      <alignment horizontal="left" vertical="top"/>
      <protection locked="0"/>
    </xf>
    <xf numFmtId="0" fontId="16" fillId="0" borderId="0" xfId="4" quotePrefix="1" applyFont="1" applyBorder="1" applyAlignment="1" applyProtection="1">
      <alignment vertical="top" wrapText="1"/>
    </xf>
    <xf numFmtId="0" fontId="17" fillId="0" borderId="0" xfId="0" applyFont="1"/>
    <xf numFmtId="0" fontId="17" fillId="0" borderId="0" xfId="0" applyFont="1" applyBorder="1"/>
    <xf numFmtId="0" fontId="15" fillId="0" borderId="0" xfId="0" applyFont="1" applyFill="1" applyProtection="1"/>
    <xf numFmtId="1" fontId="15" fillId="0" borderId="0" xfId="0" applyNumberFormat="1" applyFont="1" applyFill="1" applyProtection="1"/>
    <xf numFmtId="0" fontId="15" fillId="0" borderId="0" xfId="0" applyFont="1" applyFill="1" applyAlignment="1" applyProtection="1">
      <alignment horizontal="right"/>
    </xf>
    <xf numFmtId="1" fontId="15" fillId="0" borderId="0" xfId="0" applyNumberFormat="1" applyFont="1" applyFill="1" applyBorder="1" applyProtection="1"/>
    <xf numFmtId="0" fontId="12" fillId="0" borderId="7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8" applyFont="1" applyFill="1" applyAlignment="1">
      <alignment wrapText="1"/>
    </xf>
    <xf numFmtId="0" fontId="13" fillId="0" borderId="4" xfId="4" applyFont="1" applyAlignment="1" applyProtection="1">
      <alignment horizontal="left" vertical="top"/>
    </xf>
    <xf numFmtId="0" fontId="11" fillId="0" borderId="0" xfId="3" applyFont="1" applyAlignment="1" applyProtection="1">
      <alignment horizontal="left"/>
    </xf>
    <xf numFmtId="0" fontId="12" fillId="0" borderId="0" xfId="0" applyFont="1" applyFill="1" applyAlignment="1">
      <alignment wrapText="1"/>
    </xf>
    <xf numFmtId="44" fontId="12" fillId="0" borderId="0" xfId="0" applyNumberFormat="1" applyFont="1" applyAlignment="1">
      <alignment wrapText="1"/>
    </xf>
    <xf numFmtId="0" fontId="12" fillId="0" borderId="10" xfId="0" applyNumberFormat="1" applyFont="1" applyFill="1" applyBorder="1"/>
    <xf numFmtId="0" fontId="14" fillId="0" borderId="0" xfId="0" applyFont="1" applyFill="1" applyBorder="1" applyProtection="1">
      <protection locked="0"/>
    </xf>
    <xf numFmtId="1" fontId="14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>
      <alignment vertical="top" wrapText="1"/>
    </xf>
    <xf numFmtId="0" fontId="13" fillId="0" borderId="0" xfId="4" applyFont="1" applyFill="1" applyBorder="1" applyAlignment="1" applyProtection="1">
      <alignment vertical="top" wrapText="1"/>
    </xf>
    <xf numFmtId="0" fontId="18" fillId="0" borderId="0" xfId="4" applyFont="1" applyFill="1" applyBorder="1" applyAlignment="1" applyProtection="1"/>
    <xf numFmtId="0" fontId="12" fillId="0" borderId="0" xfId="0" applyFont="1" applyBorder="1" applyAlignment="1" applyProtection="1"/>
    <xf numFmtId="0" fontId="17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Alignment="1" applyProtection="1">
      <alignment horizontal="left"/>
    </xf>
    <xf numFmtId="0" fontId="21" fillId="0" borderId="10" xfId="0" applyNumberFormat="1" applyFont="1" applyFill="1" applyBorder="1"/>
    <xf numFmtId="0" fontId="21" fillId="0" borderId="0" xfId="0" applyNumberFormat="1" applyFont="1" applyFill="1" applyAlignment="1">
      <alignment wrapText="1"/>
    </xf>
    <xf numFmtId="0" fontId="21" fillId="0" borderId="0" xfId="0" applyNumberFormat="1" applyFont="1" applyAlignment="1">
      <alignment wrapText="1"/>
    </xf>
    <xf numFmtId="44" fontId="12" fillId="0" borderId="0" xfId="0" applyNumberFormat="1" applyFont="1" applyProtection="1"/>
    <xf numFmtId="44" fontId="20" fillId="0" borderId="0" xfId="0" applyNumberFormat="1" applyFont="1" applyProtection="1"/>
    <xf numFmtId="0" fontId="16" fillId="0" borderId="0" xfId="4" quotePrefix="1" applyFont="1" applyFill="1" applyBorder="1" applyAlignment="1" applyProtection="1">
      <alignment vertical="top" wrapText="1"/>
    </xf>
    <xf numFmtId="0" fontId="12" fillId="0" borderId="0" xfId="0" applyFont="1" applyFill="1" applyProtection="1"/>
    <xf numFmtId="44" fontId="12" fillId="0" borderId="0" xfId="8" applyNumberFormat="1" applyFont="1" applyFill="1" applyAlignment="1" applyProtection="1">
      <alignment horizontal="left" wrapText="1"/>
    </xf>
    <xf numFmtId="0" fontId="13" fillId="0" borderId="0" xfId="4" applyFont="1" applyFill="1" applyBorder="1" applyAlignment="1" applyProtection="1"/>
    <xf numFmtId="0" fontId="12" fillId="0" borderId="0" xfId="0" applyFont="1" applyFill="1" applyAlignment="1" applyProtection="1">
      <alignment wrapText="1"/>
    </xf>
    <xf numFmtId="44" fontId="12" fillId="0" borderId="0" xfId="8" applyNumberFormat="1" applyFont="1" applyFill="1" applyBorder="1" applyAlignment="1" applyProtection="1">
      <alignment horizontal="left"/>
    </xf>
    <xf numFmtId="0" fontId="11" fillId="0" borderId="0" xfId="3" applyFont="1" applyFill="1" applyBorder="1" applyAlignment="1" applyProtection="1"/>
    <xf numFmtId="0" fontId="9" fillId="0" borderId="0" xfId="6" applyFont="1" applyFill="1" applyBorder="1" applyAlignment="1" applyProtection="1">
      <alignment vertical="top"/>
    </xf>
    <xf numFmtId="0" fontId="9" fillId="0" borderId="5" xfId="5" applyFont="1" applyFill="1" applyAlignment="1" applyProtection="1">
      <alignment vertical="top" wrapText="1"/>
    </xf>
    <xf numFmtId="0" fontId="12" fillId="0" borderId="0" xfId="0" applyFont="1" applyBorder="1" applyAlignment="1">
      <alignment wrapText="1"/>
    </xf>
    <xf numFmtId="0" fontId="20" fillId="0" borderId="0" xfId="0" applyFont="1" applyAlignment="1" applyProtection="1"/>
    <xf numFmtId="0" fontId="13" fillId="0" borderId="0" xfId="4" applyFont="1" applyFill="1" applyBorder="1" applyAlignment="1" applyProtection="1">
      <alignment horizontal="left" vertical="top" wrapText="1"/>
    </xf>
    <xf numFmtId="44" fontId="14" fillId="6" borderId="1" xfId="0" applyNumberFormat="1" applyFont="1" applyFill="1" applyBorder="1" applyAlignment="1">
      <alignment vertical="top" wrapText="1"/>
    </xf>
    <xf numFmtId="49" fontId="15" fillId="0" borderId="0" xfId="0" applyNumberFormat="1" applyFont="1" applyFill="1" applyBorder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wrapText="1"/>
      <protection locked="0"/>
    </xf>
    <xf numFmtId="49" fontId="15" fillId="0" borderId="0" xfId="0" applyNumberFormat="1" applyFont="1" applyFill="1" applyBorder="1" applyProtection="1">
      <protection locked="0"/>
    </xf>
    <xf numFmtId="49" fontId="12" fillId="0" borderId="0" xfId="0" applyNumberFormat="1" applyFont="1" applyAlignment="1" applyProtection="1"/>
    <xf numFmtId="49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167" fontId="12" fillId="0" borderId="0" xfId="1" applyNumberFormat="1" applyFont="1" applyAlignment="1" applyProtection="1">
      <alignment horizontal="right" wrapText="1"/>
      <protection locked="0"/>
    </xf>
    <xf numFmtId="164" fontId="12" fillId="0" borderId="0" xfId="2" applyNumberFormat="1" applyFont="1" applyAlignment="1" applyProtection="1">
      <alignment horizontal="right" wrapText="1"/>
      <protection locked="0"/>
    </xf>
    <xf numFmtId="166" fontId="12" fillId="0" borderId="0" xfId="0" applyNumberFormat="1" applyFont="1" applyFill="1" applyAlignment="1" applyProtection="1">
      <alignment horizontal="right" wrapText="1"/>
    </xf>
    <xf numFmtId="166" fontId="12" fillId="5" borderId="0" xfId="8" applyNumberFormat="1" applyFont="1" applyFill="1" applyAlignment="1" applyProtection="1">
      <alignment horizontal="right" wrapText="1"/>
    </xf>
    <xf numFmtId="166" fontId="12" fillId="0" borderId="0" xfId="0" applyNumberFormat="1" applyFont="1" applyFill="1" applyBorder="1" applyAlignment="1" applyProtection="1">
      <alignment horizontal="right"/>
    </xf>
    <xf numFmtId="166" fontId="12" fillId="5" borderId="0" xfId="8" applyNumberFormat="1" applyFont="1" applyFill="1" applyBorder="1" applyAlignment="1" applyProtection="1">
      <alignment horizontal="right"/>
    </xf>
    <xf numFmtId="167" fontId="12" fillId="0" borderId="0" xfId="1" applyNumberFormat="1" applyFont="1" applyFill="1" applyBorder="1" applyAlignment="1" applyProtection="1">
      <alignment horizontal="right"/>
      <protection locked="0"/>
    </xf>
    <xf numFmtId="166" fontId="12" fillId="0" borderId="0" xfId="1" applyNumberFormat="1" applyFont="1" applyFill="1" applyAlignment="1" applyProtection="1">
      <alignment horizontal="right"/>
    </xf>
    <xf numFmtId="166" fontId="12" fillId="0" borderId="0" xfId="0" applyNumberFormat="1" applyFont="1" applyFill="1" applyAlignment="1" applyProtection="1"/>
    <xf numFmtId="166" fontId="12" fillId="0" borderId="0" xfId="0" applyNumberFormat="1" applyFont="1" applyFill="1" applyAlignment="1" applyProtection="1">
      <alignment horizontal="right"/>
    </xf>
    <xf numFmtId="166" fontId="12" fillId="5" borderId="0" xfId="8" applyNumberFormat="1" applyFont="1" applyFill="1" applyAlignment="1" applyProtection="1">
      <alignment horizontal="right"/>
    </xf>
    <xf numFmtId="2" fontId="12" fillId="0" borderId="0" xfId="8" applyNumberFormat="1" applyFont="1" applyFill="1" applyAlignment="1" applyProtection="1">
      <alignment horizontal="right" wrapText="1"/>
      <protection locked="0"/>
    </xf>
    <xf numFmtId="166" fontId="12" fillId="0" borderId="0" xfId="8" applyNumberFormat="1" applyFont="1" applyFill="1" applyAlignment="1" applyProtection="1">
      <alignment horizontal="right" wrapText="1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Alignment="1" applyProtection="1">
      <alignment horizontal="right"/>
      <protection locked="0"/>
    </xf>
    <xf numFmtId="166" fontId="15" fillId="6" borderId="1" xfId="1" applyNumberFormat="1" applyFont="1" applyFill="1" applyBorder="1" applyAlignment="1">
      <alignment vertical="top" wrapText="1"/>
    </xf>
    <xf numFmtId="0" fontId="13" fillId="0" borderId="0" xfId="4" applyFont="1" applyFill="1" applyBorder="1" applyAlignment="1" applyProtection="1">
      <alignment vertical="top"/>
    </xf>
    <xf numFmtId="0" fontId="15" fillId="0" borderId="0" xfId="0" applyFont="1" applyFill="1" applyBorder="1" applyAlignment="1">
      <alignment vertical="top"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15" fillId="0" borderId="3" xfId="0" applyFont="1" applyFill="1" applyBorder="1" applyAlignment="1">
      <alignment vertical="top" wrapText="1"/>
    </xf>
    <xf numFmtId="0" fontId="15" fillId="0" borderId="1" xfId="0" applyFont="1" applyFill="1" applyBorder="1" applyAlignment="1" applyProtection="1">
      <alignment vertical="top" wrapText="1"/>
      <protection locked="0"/>
    </xf>
    <xf numFmtId="1" fontId="12" fillId="0" borderId="6" xfId="8" applyNumberFormat="1" applyFont="1" applyFill="1" applyBorder="1" applyAlignment="1">
      <alignment wrapText="1"/>
    </xf>
    <xf numFmtId="166" fontId="12" fillId="0" borderId="0" xfId="8" applyNumberFormat="1" applyFont="1" applyFill="1" applyBorder="1" applyAlignment="1" applyProtection="1">
      <alignment horizontal="right"/>
    </xf>
    <xf numFmtId="166" fontId="12" fillId="0" borderId="0" xfId="1" applyNumberFormat="1" applyFont="1" applyFill="1" applyAlignment="1" applyProtection="1"/>
    <xf numFmtId="166" fontId="12" fillId="0" borderId="0" xfId="8" applyNumberFormat="1" applyFont="1" applyFill="1" applyAlignment="1" applyProtection="1">
      <alignment horizontal="right"/>
    </xf>
    <xf numFmtId="166" fontId="12" fillId="0" borderId="0" xfId="1" applyNumberFormat="1" applyFont="1" applyFill="1" applyAlignment="1" applyProtection="1">
      <alignment horizontal="right" vertical="top"/>
      <protection locked="0"/>
    </xf>
    <xf numFmtId="1" fontId="12" fillId="0" borderId="0" xfId="1" applyNumberFormat="1" applyFont="1" applyFill="1" applyAlignment="1">
      <alignment wrapText="1"/>
    </xf>
    <xf numFmtId="1" fontId="17" fillId="0" borderId="0" xfId="0" applyNumberFormat="1" applyFont="1" applyBorder="1"/>
    <xf numFmtId="166" fontId="12" fillId="0" borderId="0" xfId="1" applyNumberFormat="1" applyFont="1" applyBorder="1" applyAlignment="1">
      <alignment wrapText="1"/>
    </xf>
    <xf numFmtId="166" fontId="12" fillId="0" borderId="0" xfId="1" applyNumberFormat="1" applyFont="1" applyFill="1" applyAlignment="1">
      <alignment wrapText="1"/>
    </xf>
    <xf numFmtId="0" fontId="13" fillId="0" borderId="0" xfId="4" applyFont="1" applyBorder="1" applyAlignment="1" applyProtection="1">
      <alignment vertical="top"/>
    </xf>
    <xf numFmtId="0" fontId="12" fillId="0" borderId="7" xfId="0" applyFont="1" applyBorder="1" applyAlignment="1">
      <alignment wrapText="1"/>
    </xf>
    <xf numFmtId="1" fontId="14" fillId="0" borderId="0" xfId="0" applyNumberFormat="1" applyFont="1" applyFill="1" applyBorder="1" applyAlignment="1" applyProtection="1">
      <alignment wrapText="1"/>
    </xf>
    <xf numFmtId="166" fontId="12" fillId="8" borderId="11" xfId="1" applyNumberFormat="1" applyFont="1" applyFill="1" applyBorder="1"/>
    <xf numFmtId="44" fontId="17" fillId="8" borderId="12" xfId="15" applyNumberFormat="1" applyFont="1" applyFill="1" applyBorder="1" applyAlignment="1">
      <alignment horizontal="right" wrapText="1"/>
    </xf>
    <xf numFmtId="166" fontId="12" fillId="0" borderId="0" xfId="1" applyNumberFormat="1" applyFont="1" applyAlignment="1">
      <alignment wrapText="1"/>
    </xf>
    <xf numFmtId="166" fontId="21" fillId="0" borderId="0" xfId="1" applyNumberFormat="1" applyFont="1" applyAlignment="1">
      <alignment wrapText="1"/>
    </xf>
    <xf numFmtId="166" fontId="17" fillId="0" borderId="0" xfId="1" applyNumberFormat="1" applyFont="1" applyBorder="1"/>
    <xf numFmtId="166" fontId="17" fillId="0" borderId="0" xfId="0" applyNumberFormat="1" applyFont="1" applyBorder="1"/>
    <xf numFmtId="0" fontId="12" fillId="0" borderId="0" xfId="8" applyFont="1" applyFill="1" applyBorder="1" applyAlignment="1">
      <alignment horizontal="left" vertical="top" wrapText="1"/>
    </xf>
    <xf numFmtId="0" fontId="12" fillId="0" borderId="0" xfId="8" applyFont="1" applyFill="1" applyAlignment="1">
      <alignment horizontal="left" vertical="top" wrapText="1"/>
    </xf>
    <xf numFmtId="0" fontId="11" fillId="0" borderId="0" xfId="3" applyFont="1" applyAlignment="1" applyProtection="1">
      <alignment horizontal="left"/>
    </xf>
    <xf numFmtId="1" fontId="24" fillId="0" borderId="0" xfId="0" applyNumberFormat="1" applyFont="1" applyFill="1" applyBorder="1" applyAlignment="1" applyProtection="1">
      <alignment horizontal="right"/>
      <protection locked="0"/>
    </xf>
    <xf numFmtId="164" fontId="24" fillId="0" borderId="0" xfId="2" applyNumberFormat="1" applyFont="1" applyAlignment="1" applyProtection="1">
      <alignment horizontal="right"/>
      <protection locked="0"/>
    </xf>
    <xf numFmtId="166" fontId="24" fillId="5" borderId="0" xfId="8" applyNumberFormat="1" applyFont="1" applyFill="1" applyBorder="1" applyAlignment="1" applyProtection="1">
      <alignment horizontal="right"/>
    </xf>
    <xf numFmtId="166" fontId="24" fillId="0" borderId="0" xfId="8" applyNumberFormat="1" applyFont="1" applyFill="1" applyBorder="1" applyAlignment="1" applyProtection="1">
      <alignment horizontal="right"/>
    </xf>
    <xf numFmtId="14" fontId="12" fillId="0" borderId="0" xfId="0" applyNumberFormat="1" applyFo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164" fontId="12" fillId="0" borderId="0" xfId="2" applyNumberFormat="1" applyFont="1" applyAlignment="1" applyProtection="1">
      <alignment horizontal="right"/>
      <protection locked="0"/>
    </xf>
    <xf numFmtId="164" fontId="12" fillId="0" borderId="0" xfId="2" applyNumberFormat="1" applyFont="1" applyProtection="1">
      <protection locked="0"/>
    </xf>
    <xf numFmtId="14" fontId="12" fillId="5" borderId="0" xfId="0" applyNumberFormat="1" applyFont="1" applyFill="1" applyProtection="1">
      <protection locked="0"/>
    </xf>
    <xf numFmtId="0" fontId="12" fillId="5" borderId="0" xfId="0" applyFont="1" applyFill="1" applyAlignment="1" applyProtection="1">
      <protection locked="0"/>
    </xf>
    <xf numFmtId="0" fontId="12" fillId="5" borderId="0" xfId="0" applyFont="1" applyFill="1" applyAlignment="1" applyProtection="1">
      <alignment horizontal="left"/>
      <protection locked="0"/>
    </xf>
    <xf numFmtId="164" fontId="12" fillId="5" borderId="0" xfId="2" applyNumberFormat="1" applyFont="1" applyFill="1" applyProtection="1">
      <protection locked="0"/>
    </xf>
    <xf numFmtId="14" fontId="12" fillId="0" borderId="0" xfId="0" applyNumberFormat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5" fillId="4" borderId="7" xfId="0" applyFont="1" applyFill="1" applyBorder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protection locked="0"/>
    </xf>
    <xf numFmtId="0" fontId="15" fillId="4" borderId="0" xfId="0" applyFont="1" applyFill="1" applyAlignment="1" applyProtection="1">
      <alignment horizontal="right"/>
      <protection locked="0"/>
    </xf>
    <xf numFmtId="165" fontId="11" fillId="0" borderId="0" xfId="3" applyNumberFormat="1" applyFont="1" applyAlignment="1" applyProtection="1">
      <alignment horizontal="left"/>
    </xf>
    <xf numFmtId="165" fontId="12" fillId="0" borderId="0" xfId="0" applyNumberFormat="1" applyFont="1" applyBorder="1" applyAlignment="1" applyProtection="1">
      <alignment horizontal="left" wrapText="1"/>
    </xf>
    <xf numFmtId="0" fontId="12" fillId="0" borderId="0" xfId="0" applyFont="1" applyAlignment="1" applyProtection="1">
      <alignment horizontal="left"/>
    </xf>
    <xf numFmtId="165" fontId="15" fillId="4" borderId="6" xfId="0" applyNumberFormat="1" applyFont="1" applyFill="1" applyBorder="1" applyProtection="1"/>
    <xf numFmtId="165" fontId="15" fillId="4" borderId="6" xfId="14" applyNumberFormat="1" applyFont="1" applyFill="1" applyBorder="1" applyProtection="1"/>
    <xf numFmtId="165" fontId="12" fillId="0" borderId="0" xfId="0" applyNumberFormat="1" applyFont="1" applyProtection="1"/>
    <xf numFmtId="0" fontId="12" fillId="0" borderId="0" xfId="0" applyFont="1" applyFill="1" applyAlignment="1" applyProtection="1">
      <alignment horizontal="left" wrapText="1"/>
      <protection locked="0"/>
    </xf>
    <xf numFmtId="0" fontId="13" fillId="0" borderId="0" xfId="4" applyFont="1" applyFill="1" applyBorder="1" applyAlignment="1" applyProtection="1">
      <alignment horizontal="left" vertical="top" wrapText="1"/>
    </xf>
    <xf numFmtId="0" fontId="11" fillId="0" borderId="0" xfId="3" applyFont="1" applyAlignment="1" applyProtection="1">
      <alignment horizontal="left"/>
    </xf>
  </cellXfs>
  <cellStyles count="16">
    <cellStyle name="20% - Accent1" xfId="8" builtinId="30"/>
    <cellStyle name="20% - Accent3" xfId="15" builtinId="38"/>
    <cellStyle name="Currency" xfId="1" builtinId="4"/>
    <cellStyle name="Currency 2" xfId="13" xr:uid="{3350D423-DA76-4904-8C52-DF78D5D8BD1F}"/>
    <cellStyle name="Explanatory Text" xfId="7" builtinId="53" customBuiltin="1"/>
    <cellStyle name="Explanatory Text 2" xfId="12" xr:uid="{A86F0078-2599-40BB-A0A7-0BF66BF60509}"/>
    <cellStyle name="Heading 2" xfId="4" builtinId="17"/>
    <cellStyle name="Heading 3" xfId="5" builtinId="18"/>
    <cellStyle name="Heading 4" xfId="6" builtinId="19"/>
    <cellStyle name="Normal" xfId="0" builtinId="0"/>
    <cellStyle name="Normal 2" xfId="9" xr:uid="{00000000-0005-0000-0000-000008000000}"/>
    <cellStyle name="Normal 3" xfId="11" xr:uid="{BB68D8AA-8138-4439-B6DC-4D3EBA883510}"/>
    <cellStyle name="Percent" xfId="2" builtinId="5"/>
    <cellStyle name="Percent 2" xfId="14" xr:uid="{05DEEC73-2546-488E-B474-937EE193C083}"/>
    <cellStyle name="Title" xfId="3" builtinId="15"/>
    <cellStyle name="Title 2" xfId="10" xr:uid="{468550B7-6A68-447B-91FE-46800C74C289}"/>
  </cellStyles>
  <dxfs count="1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.0000"/>
      <fill>
        <patternFill patternType="solid">
          <fgColor indexed="64"/>
          <bgColor theme="0"/>
        </patternFill>
      </fill>
      <border diagonalUp="0" diagonalDown="0">
        <left/>
        <right style="thin">
          <color auto="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0.0000"/>
      <fill>
        <patternFill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.0%"/>
      <fill>
        <patternFill>
          <fgColor indexed="64"/>
          <bgColor theme="0"/>
        </patternFill>
      </fill>
      <alignment horizontal="right"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horizontal="general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m/d/yyyy"/>
      <fill>
        <patternFill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m/d/yyyy"/>
      <fill>
        <patternFill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bottom" textRotation="0" wrapText="1" indent="0" justifyLastLine="0" shrinkToFit="0" readingOrder="0"/>
      <protection locked="1" hidden="0"/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6F9FC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solid">
          <fgColor indexed="64"/>
          <bgColor theme="6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numFmt numFmtId="166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66" formatCode="&quot;$&quot;#,##0.00"/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66" formatCode="&quot;$&quot;#,##0.00"/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 val="0"/>
        <i val="0"/>
        <color rgb="FFFF0000"/>
      </font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166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166" formatCode="&quot;$&quot;#,##0.0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alignment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164" formatCode="0.0%"/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167" formatCode="&quot;$&quot;#,##0"/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alignment horizontal="left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protection locked="1" hidden="0"/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protection locked="1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/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8" tint="0.79998168889431442"/>
        </patternFill>
      </fill>
      <border diagonalUp="1">
        <left/>
        <right/>
        <top style="medium">
          <color auto="1"/>
        </top>
        <bottom style="medium">
          <color auto="1"/>
        </bottom>
        <diagonal style="medium">
          <color auto="1"/>
        </diagon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  <dxf>
      <font>
        <b/>
        <i val="0"/>
      </font>
      <fill>
        <patternFill patternType="none">
          <fgColor indexed="64"/>
          <bgColor auto="1"/>
        </patternFill>
      </fill>
      <border>
        <vertical style="thin">
          <color theme="0" tint="-0.14996795556505021"/>
        </vertical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6" tint="0.79998168889431442"/>
        </patternFill>
      </fill>
    </dxf>
    <dxf>
      <font>
        <b/>
        <color theme="1"/>
      </font>
      <fill>
        <patternFill>
          <bgColor theme="6" tint="0.79998168889431442"/>
        </patternFill>
      </fill>
    </dxf>
    <dxf>
      <font>
        <b/>
        <i val="0"/>
        <color theme="1"/>
      </font>
    </dxf>
    <dxf>
      <font>
        <b/>
        <color theme="1"/>
      </font>
      <border diagonalDown="1">
        <left/>
        <right/>
        <top style="double">
          <color theme="3"/>
        </top>
        <bottom/>
        <diagonal style="double">
          <color theme="7"/>
        </diagonal>
        <vertical/>
      </border>
    </dxf>
    <dxf>
      <font>
        <b/>
        <color theme="1"/>
      </font>
      <fill>
        <patternFill>
          <bgColor theme="6" tint="0.79998168889431442"/>
        </patternFill>
      </fill>
      <border>
        <left/>
        <right/>
        <top/>
        <bottom style="medium">
          <color theme="3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fgColor indexed="64"/>
          <bgColor auto="1"/>
        </patternFill>
      </fill>
      <border>
        <vertical style="thin">
          <color theme="0" tint="-0.14996795556505021"/>
        </vertical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6" tint="0.79998168889431442"/>
        </patternFill>
      </fill>
    </dxf>
    <dxf>
      <font>
        <b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</dxf>
    <dxf>
      <font>
        <b/>
        <color theme="1"/>
      </font>
      <border diagonalDown="1">
        <left/>
        <right/>
        <top style="double">
          <color theme="3"/>
        </top>
        <bottom/>
        <diagonal style="double">
          <color theme="7"/>
        </diagonal>
        <vertical/>
      </border>
    </dxf>
    <dxf>
      <font>
        <b/>
        <color theme="1"/>
      </font>
      <fill>
        <patternFill>
          <bgColor theme="7" tint="0.79998168889431442"/>
        </patternFill>
      </fill>
      <border>
        <left/>
        <right/>
        <top/>
        <bottom style="medium">
          <color theme="3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fgColor indexed="64"/>
          <bgColor auto="1"/>
        </patternFill>
      </fill>
      <border>
        <vertical style="thin">
          <color theme="0" tint="-0.14996795556505021"/>
        </vertical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8" tint="0.79998168889431442"/>
        </patternFill>
      </fill>
    </dxf>
    <dxf>
      <font>
        <b val="0"/>
        <i val="0"/>
        <color theme="1"/>
      </font>
      <fill>
        <patternFill>
          <bgColor theme="6" tint="0.79998168889431442"/>
        </patternFill>
      </fill>
    </dxf>
    <dxf>
      <font>
        <b/>
        <i val="0"/>
        <color theme="1"/>
      </font>
    </dxf>
    <dxf>
      <font>
        <b/>
        <color theme="1"/>
      </font>
      <border diagonalDown="1">
        <left/>
        <right/>
        <top style="double">
          <color theme="3"/>
        </top>
        <bottom/>
        <diagonal style="double">
          <color theme="7"/>
        </diagonal>
        <vertical/>
      </border>
    </dxf>
    <dxf>
      <font>
        <b/>
        <color theme="1"/>
      </font>
      <fill>
        <patternFill>
          <bgColor theme="8" tint="0.79998168889431442"/>
        </patternFill>
      </fill>
      <border>
        <left/>
        <right/>
        <top/>
        <bottom style="medium">
          <color theme="3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Budget Input" defaultPivotStyle="PivotStyleLight16">
    <tableStyle name="Budget Input" pivot="0" count="8" xr9:uid="{318EDE0F-B105-4202-9D6A-2D9E27470D27}">
      <tableStyleElement type="wholeTable" dxfId="198"/>
      <tableStyleElement type="headerRow" dxfId="197"/>
      <tableStyleElement type="totalRow" dxfId="196"/>
      <tableStyleElement type="firstColumn" dxfId="195"/>
      <tableStyleElement type="lastColumn" dxfId="194"/>
      <tableStyleElement type="firstRowStripe" dxfId="193"/>
      <tableStyleElement type="secondRowStripe" dxfId="192"/>
      <tableStyleElement type="firstColumnStripe" dxfId="191"/>
    </tableStyle>
    <tableStyle name="Course Input" pivot="0" count="8" xr9:uid="{00000000-0011-0000-FFFF-FFFF02000000}">
      <tableStyleElement type="wholeTable" dxfId="190"/>
      <tableStyleElement type="headerRow" dxfId="189"/>
      <tableStyleElement type="totalRow" dxfId="188"/>
      <tableStyleElement type="firstColumn" dxfId="187"/>
      <tableStyleElement type="lastColumn" dxfId="186"/>
      <tableStyleElement type="firstRowStripe" dxfId="185"/>
      <tableStyleElement type="secondRowStripe" dxfId="184"/>
      <tableStyleElement type="firstColumnStripe" dxfId="183"/>
    </tableStyle>
    <tableStyle name="Financial Summary" pivot="0" count="8" xr9:uid="{B3A33F16-C19E-4C3E-A778-8CE859EA9445}">
      <tableStyleElement type="wholeTable" dxfId="182"/>
      <tableStyleElement type="headerRow" dxfId="181"/>
      <tableStyleElement type="totalRow" dxfId="180"/>
      <tableStyleElement type="firstColumn" dxfId="179"/>
      <tableStyleElement type="lastColumn" dxfId="178"/>
      <tableStyleElement type="firstRowStripe" dxfId="177"/>
      <tableStyleElement type="secondRowStripe" dxfId="176"/>
      <tableStyleElement type="firstColumnStripe" dxfId="175"/>
    </tableStyle>
    <tableStyle name="Summer" pivot="0" count="7" xr9:uid="{00000000-0011-0000-FFFF-FFFF00000000}">
      <tableStyleElement type="wholeTable" dxfId="174"/>
      <tableStyleElement type="headerRow" dxfId="173"/>
      <tableStyleElement type="totalRow" dxfId="172"/>
      <tableStyleElement type="firstColumn" dxfId="171"/>
      <tableStyleElement type="lastColumn" dxfId="170"/>
      <tableStyleElement type="firstRowStripe" dxfId="169"/>
      <tableStyleElement type="firstColumnStripe" dxfId="168"/>
    </tableStyle>
    <tableStyle name="Summer Input Spreadsheet" pivot="0" count="4" xr9:uid="{00000000-0011-0000-FFFF-FFFF01000000}">
      <tableStyleElement type="headerRow" dxfId="167"/>
      <tableStyleElement type="totalRow" dxfId="166"/>
      <tableStyleElement type="secondRowStripe" dxfId="165"/>
      <tableStyleElement type="firstColumnStripe" dxfId="164"/>
    </tableStyle>
  </tableStyles>
  <colors>
    <mruColors>
      <color rgb="FFA7BFDE"/>
      <color rgb="FFF6F9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registrar.wisc.edu/sessioncod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161924</xdr:colOff>
      <xdr:row>3</xdr:row>
      <xdr:rowOff>66675</xdr:rowOff>
    </xdr:from>
    <xdr:to>
      <xdr:col>13</xdr:col>
      <xdr:colOff>40004</xdr:colOff>
      <xdr:row>34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1040599-89EC-4849-B69A-7D519B2B4C11}"/>
            </a:ext>
          </a:extLst>
        </xdr:cNvPr>
        <xdr:cNvSpPr/>
      </xdr:nvSpPr>
      <xdr:spPr>
        <a:xfrm>
          <a:off x="7591424" y="800100"/>
          <a:ext cx="4754880" cy="5314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050" b="1"/>
            <a:t>Instructions:</a:t>
          </a:r>
          <a:r>
            <a:rPr lang="en-US" sz="1050" b="1" baseline="0"/>
            <a:t> </a:t>
          </a:r>
          <a:r>
            <a:rPr lang="en-US" sz="1050" b="1"/>
            <a:t>Course Input page</a:t>
          </a:r>
        </a:p>
        <a:p>
          <a:pPr algn="l"/>
          <a:endParaRPr lang="en-US" sz="1000" b="0"/>
        </a:p>
        <a:p>
          <a:pPr algn="l"/>
          <a:r>
            <a:rPr lang="en-US" sz="1000" b="0"/>
            <a:t>This sheet is where you list your basic departmental data, along with your list of courses.</a:t>
          </a:r>
        </a:p>
        <a:p>
          <a:pPr algn="l"/>
          <a:endParaRPr lang="en-US" sz="1000" b="0" baseline="0"/>
        </a:p>
        <a:p>
          <a:pPr algn="l"/>
          <a:r>
            <a:rPr lang="en-US" sz="1000" b="0" baseline="0"/>
            <a:t>The entries made on this page are referenced by other tables in this document:</a:t>
          </a:r>
        </a:p>
        <a:p>
          <a:pPr algn="l"/>
          <a:r>
            <a:rPr lang="en-US" sz="1000" b="0" baseline="0"/>
            <a:t>- The </a:t>
          </a:r>
          <a:r>
            <a:rPr lang="en-US" sz="1000" b="1" baseline="0"/>
            <a:t>'Appt &amp; Expense Input</a:t>
          </a:r>
          <a:r>
            <a:rPr lang="en-US" sz="1000" b="0" baseline="0"/>
            <a:t>' sheet is used to list specific details for instructors, TAs and other summer expenses. Those entries are linked to courses from this page.</a:t>
          </a:r>
        </a:p>
        <a:p>
          <a:pPr algn="l"/>
          <a:r>
            <a:rPr lang="en-US" sz="1000" b="0" baseline="0"/>
            <a:t>- The </a:t>
          </a:r>
          <a:r>
            <a:rPr lang="en-US" sz="1000" b="1" baseline="0"/>
            <a:t>'Financial Summary</a:t>
          </a:r>
          <a:r>
            <a:rPr lang="en-US" sz="1000" b="0" baseline="0"/>
            <a:t>' sheet creates a surplus estimate for the department. It compares estimated paid credits from the Course Input table against planned salaries and expenses from the Appt &amp; Expense Input sheet. </a:t>
          </a:r>
        </a:p>
        <a:p>
          <a:pPr algn="l"/>
          <a:endParaRPr lang="en-US" sz="1000" b="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Courses to include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List all courses that will be offered during summer term, including those that are not part of the summer budget model (e.g., professional masters or capstone programs).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Create entries for other summer 131-funded expenses as appropriate (e.g., Summer Term Chair).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The 'Course Number &amp; Name' column requires unique values.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Include course topic if applicable.</a:t>
          </a:r>
          <a:b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Paid Credit Estimates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Paid Credits are credit hours associated with students who paid tuition to the campus tuition pool. KB #21681 contains a detailed definition of Paid Credits for Summer Term. The 'Estimated Paid Credits' field drives the revenue and surplus estimate for each course.</a:t>
          </a: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Enter actual paid credits from the previous summer whenever possible. These figures are available on previous Financial Reports (available in departmental summer Box folders).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The department will need to make an educated guess for courses that are new or not recently offered.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List zero estimated paid credits for courses from non-pooled programs (e.g., 131 capstone or masters programs); these courses do not contribute towards the summer 131 surplus.</a:t>
          </a:r>
        </a:p>
        <a:p>
          <a:pPr algn="l"/>
          <a:endParaRPr lang="en-US" sz="1000" b="0" baseline="0"/>
        </a:p>
      </xdr:txBody>
    </xdr:sp>
    <xdr:clientData fPrintsWithSheet="0"/>
  </xdr:twoCellAnchor>
  <xdr:twoCellAnchor editAs="absolute">
    <xdr:from>
      <xdr:col>5</xdr:col>
      <xdr:colOff>161924</xdr:colOff>
      <xdr:row>0</xdr:row>
      <xdr:rowOff>19050</xdr:rowOff>
    </xdr:from>
    <xdr:to>
      <xdr:col>13</xdr:col>
      <xdr:colOff>40004</xdr:colOff>
      <xdr:row>3</xdr:row>
      <xdr:rowOff>38101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D6E1028-8BFD-49F5-8FBB-30CAAFC963F4}"/>
            </a:ext>
          </a:extLst>
        </xdr:cNvPr>
        <xdr:cNvSpPr/>
      </xdr:nvSpPr>
      <xdr:spPr>
        <a:xfrm>
          <a:off x="7591424" y="19050"/>
          <a:ext cx="4754880" cy="752476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50" b="1"/>
            <a:t>Email </a:t>
          </a:r>
          <a:r>
            <a:rPr lang="en-US" sz="1050" b="1" baseline="0"/>
            <a:t>completed spreadsheets to Cathy Yu at teach.learn@ls.wisc.edu</a:t>
          </a:r>
        </a:p>
        <a:p>
          <a:pPr algn="ctr"/>
          <a:endParaRPr lang="en-US" sz="1000" b="1" baseline="0"/>
        </a:p>
        <a:p>
          <a:pPr algn="l"/>
          <a:r>
            <a:rPr lang="en-US" sz="1000" b="0" baseline="0"/>
            <a:t>Responses will be sent by L&amp;S Teaching &amp; Learning Administration ahead of the curricular deadline of 11/18/22.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66676</xdr:colOff>
      <xdr:row>0</xdr:row>
      <xdr:rowOff>55264</xdr:rowOff>
    </xdr:from>
    <xdr:to>
      <xdr:col>13</xdr:col>
      <xdr:colOff>520793</xdr:colOff>
      <xdr:row>20</xdr:row>
      <xdr:rowOff>38101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F9A516C-6F45-4E64-B00B-6C9FD277BD1D}"/>
            </a:ext>
          </a:extLst>
        </xdr:cNvPr>
        <xdr:cNvSpPr/>
      </xdr:nvSpPr>
      <xdr:spPr>
        <a:xfrm>
          <a:off x="11515726" y="55264"/>
          <a:ext cx="3978367" cy="389761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Instructions: Appt &amp; Expense Input page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This sheet contains planned instructional appointments and other summer expenses. This data will be used to create your department's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Expense Details report.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 tables on this sheet reference the list of courses on the 'Course Input' sheet; please complete that list before adding appointments to this page.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Information to include: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All expenses to be funded by Summer 131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 These entries are totaled on the 'Financial Summary' sheet.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All summer instructional appointments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 This information will be used to create offer letters and will be shared with L&amp;S HR.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Appointment levels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Instructional appointments for Faculty, Academic Staff and Lecturer (SA)s are typically equal to 'one ninth' of a nine-month salary.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TA appointments are based on the number of hours worked and may require submission of a TA workload. </a:t>
          </a: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See KB 85547 for more details and common appointment percentages.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142875</xdr:colOff>
      <xdr:row>2</xdr:row>
      <xdr:rowOff>9525</xdr:rowOff>
    </xdr:from>
    <xdr:to>
      <xdr:col>15</xdr:col>
      <xdr:colOff>266700</xdr:colOff>
      <xdr:row>27</xdr:row>
      <xdr:rowOff>47625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8790A2F-93AF-4A0C-9174-E839E68CB647}"/>
            </a:ext>
          </a:extLst>
        </xdr:cNvPr>
        <xdr:cNvSpPr/>
      </xdr:nvSpPr>
      <xdr:spPr>
        <a:xfrm>
          <a:off x="10544175" y="523875"/>
          <a:ext cx="3162300" cy="50292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000" b="1"/>
            <a:t>Financial</a:t>
          </a:r>
          <a:r>
            <a:rPr lang="en-US" sz="1000" b="1" baseline="0"/>
            <a:t> Summary</a:t>
          </a:r>
          <a:endParaRPr lang="en-US" sz="1000" b="1"/>
        </a:p>
        <a:p>
          <a:pPr algn="l"/>
          <a:r>
            <a:rPr lang="en-US" sz="1000"/>
            <a:t>This page creates an overall</a:t>
          </a:r>
          <a:r>
            <a:rPr lang="en-US" sz="1000" baseline="0"/>
            <a:t> surplus estimate for the department. It </a:t>
          </a:r>
          <a:r>
            <a:rPr lang="en-US" sz="1000"/>
            <a:t>shows the estimated contribution of each course to department surplus, along with the paid credits needed for the course to break even.  </a:t>
          </a:r>
        </a:p>
        <a:p>
          <a:pPr algn="l"/>
          <a:endParaRPr lang="en-US" sz="1000"/>
        </a:p>
        <a:p>
          <a:pPr algn="l"/>
          <a:r>
            <a:rPr lang="en-US" sz="1000"/>
            <a:t>This page is informational only. The information</a:t>
          </a:r>
          <a:r>
            <a:rPr lang="en-US" sz="1000" baseline="0"/>
            <a:t> on this page is </a:t>
          </a:r>
          <a:r>
            <a:rPr lang="en-US" sz="1000"/>
            <a:t>based</a:t>
          </a:r>
          <a:r>
            <a:rPr lang="en-US" sz="1000" baseline="0"/>
            <a:t> on data entered on the 'Course Input' and 'Appt &amp; Expense Input' sheets.</a:t>
          </a:r>
          <a:endParaRPr lang="en-US" sz="1000" b="1" baseline="0"/>
        </a:p>
        <a:p>
          <a:pPr algn="l"/>
          <a:endParaRPr lang="en-US" sz="1000" baseline="0"/>
        </a:p>
        <a:p>
          <a:pPr algn="l"/>
          <a:r>
            <a:rPr lang="en-US" sz="1000" u="sng"/>
            <a:t>Explanation</a:t>
          </a:r>
          <a:r>
            <a:rPr lang="en-US" sz="1000" u="sng" baseline="0"/>
            <a:t> of calculations:</a:t>
          </a:r>
          <a:endParaRPr lang="en-US" sz="10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Estimated Costs to Summer Sessions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This column sums the estimated costs for each course, as listed on the Appt &amp; Expense Input page.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Estimated Revenue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This figure is the Estimated Paid Credits (from the Course Input page) figure multiplied by $300.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Paid Credits Needed for Positive Course Contribution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This figure shows the number of paid credits needed for the course to break even. This figure is the Estimated Costs for a course divided by 300.</a:t>
          </a: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Estimated Surplus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This figure is the Estimated Revenue minus the Estimated Costs per course: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$300 * est paid credits minus est costs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 total listed in this column equals the overall surplus estimate for the department.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4743450</xdr:colOff>
      <xdr:row>0</xdr:row>
      <xdr:rowOff>9525</xdr:rowOff>
    </xdr:from>
    <xdr:to>
      <xdr:col>0</xdr:col>
      <xdr:colOff>7915275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89701F2-7245-4AAE-8E4E-C37A5668F552}"/>
            </a:ext>
          </a:extLst>
        </xdr:cNvPr>
        <xdr:cNvSpPr/>
      </xdr:nvSpPr>
      <xdr:spPr>
        <a:xfrm>
          <a:off x="4743450" y="9525"/>
          <a:ext cx="3171825" cy="285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000" b="0" baseline="0"/>
            <a:t>This page is optional; add additional details as needed</a:t>
          </a:r>
          <a:endParaRPr lang="en-US" sz="1000" b="1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352425</xdr:colOff>
      <xdr:row>2</xdr:row>
      <xdr:rowOff>123825</xdr:rowOff>
    </xdr:from>
    <xdr:to>
      <xdr:col>12</xdr:col>
      <xdr:colOff>428625</xdr:colOff>
      <xdr:row>6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A43C18E-87AB-4027-BDB3-F40CE62F873D}"/>
            </a:ext>
          </a:extLst>
        </xdr:cNvPr>
        <xdr:cNvSpPr/>
      </xdr:nvSpPr>
      <xdr:spPr>
        <a:xfrm>
          <a:off x="5553075" y="552450"/>
          <a:ext cx="3657600" cy="5905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000" b="0" baseline="0"/>
            <a:t>The most commonly used / recommended sessions have been highlighted. The session code list is based on the list of approved sessions on the Office of the Registrar's website.</a:t>
          </a:r>
        </a:p>
        <a:p>
          <a:pPr algn="ctr"/>
          <a:endParaRPr lang="en-US" sz="1000" b="1"/>
        </a:p>
      </xdr:txBody>
    </xdr:sp>
    <xdr:clientData fPrintsWithSheet="0"/>
  </xdr:twoCellAnchor>
  <xdr:twoCellAnchor editAs="absolute">
    <xdr:from>
      <xdr:col>6</xdr:col>
      <xdr:colOff>352425</xdr:colOff>
      <xdr:row>6</xdr:row>
      <xdr:rowOff>95251</xdr:rowOff>
    </xdr:from>
    <xdr:to>
      <xdr:col>12</xdr:col>
      <xdr:colOff>428625</xdr:colOff>
      <xdr:row>8</xdr:row>
      <xdr:rowOff>76201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3484A5-DCED-476D-96BF-E6526C154DB7}"/>
            </a:ext>
          </a:extLst>
        </xdr:cNvPr>
        <xdr:cNvSpPr/>
      </xdr:nvSpPr>
      <xdr:spPr>
        <a:xfrm>
          <a:off x="5553075" y="1171576"/>
          <a:ext cx="3657600" cy="30480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 u="sng" baseline="0"/>
            <a:t>Link to Registrar's website</a:t>
          </a:r>
        </a:p>
        <a:p>
          <a:pPr algn="ctr"/>
          <a:endParaRPr lang="en-US" sz="1000" b="1" u="sng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1000000}" name="CourseList" displayName="CourseList" ref="A8:E34" totalsRowCount="1" headerRowDxfId="161" dataDxfId="160" totalsRowDxfId="158" tableBorderDxfId="159">
  <autoFilter ref="A8:E33" xr:uid="{EA1612F6-61F3-4623-9CCF-67FC34086648}"/>
  <sortState xmlns:xlrd2="http://schemas.microsoft.com/office/spreadsheetml/2017/richdata2" ref="A9:E33">
    <sortCondition ref="A8:A33"/>
  </sortState>
  <tableColumns count="5">
    <tableColumn id="2" xr3:uid="{00000000-0010-0000-0100-000002000000}" name="Course Number &amp; Name" dataDxfId="157" totalsRowDxfId="156"/>
    <tableColumn id="1" xr3:uid="{00000000-0010-0000-0100-000001000000}" name="Instruction Mode" dataDxfId="155" totalsRowDxfId="154"/>
    <tableColumn id="5" xr3:uid="{00000000-0010-0000-0100-000005000000}" name="Est Enrollment" totalsRowFunction="sum" dataDxfId="153" totalsRowDxfId="152"/>
    <tableColumn id="3" xr3:uid="{00000000-0010-0000-0100-000003000000}" name="Credit Range" dataDxfId="151" totalsRowDxfId="150"/>
    <tableColumn id="4" xr3:uid="{00000000-0010-0000-0100-000004000000}" name="Est Paid Credits" totalsRowFunction="sum" dataDxfId="149" totalsRowDxfId="148"/>
  </tableColumns>
  <tableStyleInfo name="Budget Input" showFirstColumn="0" showLastColumn="1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303C154-8D20-4D07-9A3E-9CCF99F3BDF8}" name="Notes" displayName="Notes" ref="A5:A13" headerRowCount="0" totalsRowShown="0" headerRowDxfId="25" dataDxfId="23" headerRowBorderDxfId="24" tableBorderDxfId="22" totalsRowBorderDxfId="21">
  <tableColumns count="1">
    <tableColumn id="1" xr3:uid="{EF9791B5-D24B-4FBA-AD3A-E41933A3ABE7}" name="Column1" headerRowDxfId="20" dataDxfId="19"/>
  </tableColumns>
  <tableStyleInfo name="TableStyleLight2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SessionCodes" displayName="SessionCodes" ref="A3:F115" totalsRowCount="1" headerRowDxfId="14" dataDxfId="13" totalsRowDxfId="12">
  <autoFilter ref="A3:F114" xr:uid="{748171DE-1306-4D7B-9CC4-8560D5E47DA2}"/>
  <sortState xmlns:xlrd2="http://schemas.microsoft.com/office/spreadsheetml/2017/richdata2" ref="A4:F114">
    <sortCondition ref="C3:C114"/>
  </sortState>
  <tableColumns count="6">
    <tableColumn id="1" xr3:uid="{00000000-0010-0000-0800-000001000000}" name="Payroll Start" dataDxfId="11" totalsRowDxfId="10"/>
    <tableColumn id="2" xr3:uid="{00000000-0010-0000-0800-000002000000}" name="Payroll End" dataDxfId="9" totalsRowDxfId="8"/>
    <tableColumn id="3" xr3:uid="{00000000-0010-0000-0800-000003000000}" name="Code" dataDxfId="7" totalsRowDxfId="6"/>
    <tableColumn id="7" xr3:uid="{00000000-0010-0000-0800-000007000000}" name="# of weeks" dataDxfId="5" totalsRowDxfId="4"/>
    <tableColumn id="6" xr3:uid="{00000000-0010-0000-0800-000006000000}" name="HRS Appt Level" dataDxfId="3" totalsRowDxfId="2"/>
    <tableColumn id="4" xr3:uid="{CB460728-DC9F-469E-8841-91022DE84BF6}" name="Multiplier" totalsRowFunction="sum" dataDxfId="1" totalsRowDxfId="0">
      <calculatedColumnFormula>(SessionCodes[[#This Row],['# of weeks]]/4)/9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5DBB781-98A7-4CEA-9F8D-B991C1E54D93}" name="Dept" displayName="Dept" ref="A4:B6" headerRowCount="0" totalsRowShown="0" headerRowDxfId="147" dataDxfId="146">
  <tableColumns count="2">
    <tableColumn id="1" xr3:uid="{23980075-AC2B-4E65-AF63-85D5C62FD965}" name="Column1" headerRowDxfId="145" dataDxfId="144" totalsRowDxfId="143"/>
    <tableColumn id="2" xr3:uid="{8A2DBFB0-AA13-429D-B02D-03878A61DFC6}" name="Column2" headerRowDxfId="142" dataDxfId="141" totalsRowDxfId="140"/>
  </tableColumns>
  <tableStyleInfo name="TableStyleMedium27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Instructor" displayName="Instructor" ref="A4:H10" totalsRowCount="1" headerRowDxfId="138" dataDxfId="137" totalsRowDxfId="136">
  <autoFilter ref="A4:H9" xr:uid="{00000000-000C-0000-FFFF-FFFF02000000}"/>
  <sortState xmlns:xlrd2="http://schemas.microsoft.com/office/spreadsheetml/2017/richdata2" ref="A5:H9">
    <sortCondition ref="A4:A9"/>
  </sortState>
  <tableColumns count="8">
    <tableColumn id="1" xr3:uid="{00000000-0010-0000-0200-000001000000}" name="Course" dataDxfId="135" totalsRowDxfId="134"/>
    <tableColumn id="4" xr3:uid="{E0E96D03-48FE-4178-B0EF-D32DD43095B5}" name="Session" dataDxfId="133" totalsRowDxfId="132"/>
    <tableColumn id="2" xr3:uid="{00000000-0010-0000-0200-000002000000}" name="Funding" dataDxfId="131" totalsRowDxfId="130"/>
    <tableColumn id="3" xr3:uid="{00000000-0010-0000-0200-000003000000}" name="Name &amp; Title" dataDxfId="129" totalsRowDxfId="128"/>
    <tableColumn id="6" xr3:uid="{00000000-0010-0000-0200-000006000000}" name="Base Rate (9 month)" dataDxfId="127" totalsRowDxfId="126"/>
    <tableColumn id="7" xr3:uid="{00000000-0010-0000-0200-000007000000}" name="Appt %" dataDxfId="125" totalsRowDxfId="124"/>
    <tableColumn id="9" xr3:uid="{00000000-0010-0000-0200-000009000000}" name="Salary" totalsRowFunction="sum" dataDxfId="123" totalsRowDxfId="122">
      <calculatedColumnFormula>IFERROR(Instructor[[#This Row],[Appt %]]*Instructor[[#This Row],[Base Rate (9 month)]]*SUMIFS(SessionCodes[Multiplier],SessionCodes[Code],Instructor[[#This Row],[Session]]),0)</calculatedColumnFormula>
    </tableColumn>
    <tableColumn id="10" xr3:uid="{00000000-0010-0000-0200-00000A000000}" name="Salary w/ 20% Fringe" totalsRowFunction="sum" dataDxfId="121" totalsRowDxfId="120">
      <calculatedColumnFormula>IFERROR(Instructor[[#This Row],[Salary]]*1.2,0)</calculatedColumnFormula>
    </tableColumn>
  </tableColumns>
  <tableStyleInfo name="Budget Input" showFirstColumn="0" showLastColumn="1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SE" displayName="SE" ref="A31:D33" totalsRowCount="1" headerRowDxfId="119" dataDxfId="118" totalsRowDxfId="117">
  <autoFilter ref="A31:D32" xr:uid="{00000000-000C-0000-FFFF-FFFF03000000}"/>
  <tableColumns count="4">
    <tableColumn id="1" xr3:uid="{00000000-0010-0000-0300-000001000000}" name="Course" dataDxfId="116" totalsRowDxfId="115"/>
    <tableColumn id="2" xr3:uid="{00000000-0010-0000-0300-000002000000}" name="Funding" dataDxfId="114" totalsRowDxfId="113"/>
    <tableColumn id="5" xr3:uid="{00000000-0010-0000-0300-000005000000}" name="Explanation" dataDxfId="112" totalsRowDxfId="111"/>
    <tableColumn id="3" xr3:uid="{00000000-0010-0000-0300-000003000000}" name="Cost" totalsRowFunction="sum" dataDxfId="110" totalsRowDxfId="109"/>
  </tableColumns>
  <tableStyleInfo name="Budget Input" showFirstColumn="0" showLastColumn="1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Reader" displayName="Reader" ref="A23:E25" totalsRowCount="1" headerRowDxfId="108" dataDxfId="107" totalsRowDxfId="106">
  <autoFilter ref="A23:E24" xr:uid="{00000000-000C-0000-FFFF-FFFF04000000}"/>
  <tableColumns count="5">
    <tableColumn id="1" xr3:uid="{00000000-0010-0000-0400-000001000000}" name="Course" dataDxfId="105" totalsRowDxfId="104"/>
    <tableColumn id="2" xr3:uid="{00000000-0010-0000-0400-000002000000}" name="Funding" dataDxfId="103" totalsRowDxfId="102"/>
    <tableColumn id="3" xr3:uid="{00000000-0010-0000-0400-000003000000}" name="# of Hours" dataDxfId="101" totalsRowDxfId="100"/>
    <tableColumn id="4" xr3:uid="{00000000-0010-0000-0400-000004000000}" name="Cost" dataDxfId="99" totalsRowDxfId="98">
      <calculatedColumnFormula>Reader[[#This Row],['# of Hours]]*22.22</calculatedColumnFormula>
    </tableColumn>
    <tableColumn id="5" xr3:uid="{00000000-0010-0000-0400-000005000000}" name="Cost w/ 5% Fringe" totalsRowFunction="sum" dataDxfId="97" totalsRowDxfId="96">
      <calculatedColumnFormula>Reader[[#This Row],[Cost]]*1.05</calculatedColumnFormula>
    </tableColumn>
  </tableColumns>
  <tableStyleInfo name="Budget Input" showFirstColumn="0" showLastColumn="1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" displayName="TA" ref="A12:H17" totalsRowCount="1" headerRowDxfId="95" dataDxfId="94" totalsRowDxfId="93">
  <autoFilter ref="A12:H16" xr:uid="{00000000-000C-0000-FFFF-FFFF05000000}"/>
  <sortState xmlns:xlrd2="http://schemas.microsoft.com/office/spreadsheetml/2017/richdata2" ref="A13:H16">
    <sortCondition ref="A12:A16"/>
  </sortState>
  <tableColumns count="8">
    <tableColumn id="1" xr3:uid="{00000000-0010-0000-0500-000001000000}" name="Course" dataDxfId="92" totalsRowDxfId="91"/>
    <tableColumn id="3" xr3:uid="{AB04FFCB-6D9C-4FAB-98E8-C935A9FC2A6E}" name="Session" dataDxfId="90" totalsRowDxfId="89"/>
    <tableColumn id="2" xr3:uid="{00000000-0010-0000-0500-000002000000}" name="Funding" dataDxfId="88" totalsRowDxfId="87"/>
    <tableColumn id="13" xr3:uid="{00000000-0010-0000-0500-00000D000000}" name="# of TA's" dataDxfId="86" totalsRowDxfId="85"/>
    <tableColumn id="6" xr3:uid="{00000000-0010-0000-0500-000006000000}" name="TA Base Rate" dataDxfId="84" totalsRowDxfId="83"/>
    <tableColumn id="7" xr3:uid="{00000000-0010-0000-0500-000007000000}" name="Appt %" dataDxfId="82" totalsRowDxfId="81"/>
    <tableColumn id="9" xr3:uid="{00000000-0010-0000-0500-000009000000}" name="Salary" totalsRowFunction="sum" dataDxfId="80" totalsRowDxfId="79">
      <calculatedColumnFormula>IFERROR((TA[[#This Row],[TA Base Rate]]*TA[[#This Row],[Appt %]]*SUMIFS(SessionCodes[Multiplier],SessionCodes[Code],TA[[#This Row],[Session]])*TA[[#This Row],['# of TA''s]]),0)</calculatedColumnFormula>
    </tableColumn>
    <tableColumn id="10" xr3:uid="{00000000-0010-0000-0500-00000A000000}" name="Salary w/ 5% Fringe" totalsRowFunction="sum" dataDxfId="78" totalsRowDxfId="77">
      <calculatedColumnFormula>IFERROR(TA[[#This Row],[Salary]]*1.05,"")</calculatedColumnFormula>
    </tableColumn>
  </tableColumns>
  <tableStyleInfo name="Budget Input" showFirstColumn="0" showLastColumn="1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Student" displayName="Student" ref="A27:D29" totalsRowCount="1" headerRowDxfId="76" dataDxfId="75" totalsRowDxfId="74">
  <autoFilter ref="A27:D28" xr:uid="{00000000-000C-0000-FFFF-FFFF06000000}"/>
  <tableColumns count="4">
    <tableColumn id="1" xr3:uid="{00000000-0010-0000-0600-000001000000}" name="Course" dataDxfId="73" totalsRowDxfId="72"/>
    <tableColumn id="2" xr3:uid="{00000000-0010-0000-0600-000002000000}" name="Funding" dataDxfId="71" totalsRowDxfId="70"/>
    <tableColumn id="4" xr3:uid="{00000000-0010-0000-0600-000004000000}" name="Cost" totalsRowFunction="sum" dataDxfId="69" totalsRowDxfId="68"/>
    <tableColumn id="5" xr3:uid="{00000000-0010-0000-0600-000005000000}" name="Cost w/ 5% Fringe" totalsRowFunction="sum" dataDxfId="67" totalsRowDxfId="66">
      <calculatedColumnFormula>Student[[#This Row],[Cost]]*1.05</calculatedColumnFormula>
    </tableColumn>
  </tableColumns>
  <tableStyleInfo name="Budget Input" showFirstColumn="0" showLastColumn="1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72ADC2F-8AF2-4F61-99CA-F3FFC74F49B8}" name="Other" displayName="Other" ref="A19:F21" totalsRowCount="1" headerRowDxfId="65" dataDxfId="64">
  <autoFilter ref="A19:F20" xr:uid="{172ADC2F-8AF2-4F61-99CA-F3FFC74F49B8}"/>
  <tableColumns count="6">
    <tableColumn id="1" xr3:uid="{9F37EC5D-EC58-414C-8243-656D475C8777}" name="Course" dataDxfId="63" totalsRowDxfId="62"/>
    <tableColumn id="3" xr3:uid="{1049DFD0-E886-4C08-AE61-3EE01944E5D6}" name="Session" dataDxfId="61" totalsRowDxfId="60"/>
    <tableColumn id="2" xr3:uid="{E5CB9CFD-C8AD-408E-A267-5B5DFAA7A4BE}" name="Funding" dataDxfId="59" totalsRowDxfId="58"/>
    <tableColumn id="6" xr3:uid="{0D2709F1-425D-4B6A-83BE-0B399F00D8E7}" name="Name &amp; Title" dataDxfId="57" totalsRowDxfId="56"/>
    <tableColumn id="4" xr3:uid="{19761893-048F-4E40-8328-D3A127818453}" name="Target Salary" totalsRowFunction="sum" dataDxfId="55" totalsRowDxfId="54"/>
    <tableColumn id="5" xr3:uid="{015C0440-8594-4504-BC58-594A16161153}" name="Salary w/ 20% Fringe" totalsRowFunction="sum" dataDxfId="53" totalsRowDxfId="52">
      <calculatedColumnFormula>Other[[#This Row],[Target Salary]]*1.2</calculatedColumnFormula>
    </tableColumn>
  </tableColumns>
  <tableStyleInfo name="Budget Input" showFirstColumn="0" showLastColumn="1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CourseSummary3" displayName="CourseSummary3" ref="A3:J31" totalsRowCount="1" headerRowDxfId="48" dataDxfId="47" totalsRowDxfId="46">
  <autoFilter ref="A3:J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7" xr3:uid="{00000000-0010-0000-0700-000007000000}" name="Index" dataDxfId="45" totalsRowDxfId="44"/>
    <tableColumn id="1" xr3:uid="{00000000-0010-0000-0700-000001000000}" name="Course Number and Name" totalsRowLabel="Totals" dataDxfId="43" totalsRowDxfId="42">
      <calculatedColumnFormula>IF(INDEX(CourseList[Course Number &amp; Name],CourseSummary3[[#This Row],[Index]],1)=0,"",INDEX(CourseList[Course Number &amp; Name],CourseSummary3[[#This Row],[Index]],1))</calculatedColumnFormula>
    </tableColumn>
    <tableColumn id="2" xr3:uid="{00000000-0010-0000-0700-000002000000}" name="Instruction Mode" dataDxfId="41" totalsRowDxfId="40">
      <calculatedColumnFormula>IF(INDEX(CourseList[Course Number &amp; Name],CourseSummary3[[#This Row],[Index]],1)=0,"",INDEX(CourseList[Instruction Mode],CourseSummary3[[#This Row],[Index]],1))</calculatedColumnFormula>
    </tableColumn>
    <tableColumn id="10" xr3:uid="{00000000-0010-0000-0700-00000A000000}" name="Estimated Costs to Summer Sessions" totalsRowFunction="sum" dataDxfId="39" totalsRowDxfId="38">
      <calculatedColumnFormula>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</calculatedColumnFormula>
    </tableColumn>
    <tableColumn id="9" xr3:uid="{00000000-0010-0000-0700-000009000000}" name="Est Enrollment" dataDxfId="37" totalsRowDxfId="36">
      <calculatedColumnFormula>IF(INDEX(CourseList[Course Number &amp; Name],CourseSummary3[[#This Row],[Index]],1)=0,0,INDEX(CourseList[Est Enrollment],CourseSummary3[[#This Row],[Index]],1))</calculatedColumnFormula>
    </tableColumn>
    <tableColumn id="11" xr3:uid="{00000000-0010-0000-0700-00000B000000}" name="Credit Range" dataDxfId="35" totalsRowDxfId="34">
      <calculatedColumnFormula>IF(INDEX(CourseList[Course Number &amp; Name],CourseSummary3[[#This Row],[Index]],1)=0,0,INDEX(CourseList[Credit Range],CourseSummary3[[#This Row],[Index]],1))</calculatedColumnFormula>
    </tableColumn>
    <tableColumn id="3" xr3:uid="{00000000-0010-0000-0700-000003000000}" name="Estimated Paid Credits" totalsRowFunction="sum" dataDxfId="33" totalsRowDxfId="32">
      <calculatedColumnFormula>IF(INDEX(CourseList[Course Number &amp; Name],CourseSummary3[[#This Row],[Index]],1)=0,0,INDEX(CourseList[Est Paid Credits],CourseSummary3[[#This Row],[Index]],1))</calculatedColumnFormula>
    </tableColumn>
    <tableColumn id="5" xr3:uid="{00000000-0010-0000-0700-000005000000}" name="Estimated Revenue" totalsRowFunction="sum" dataDxfId="31" totalsRowDxfId="30" totalsRowCellStyle="Currency">
      <calculatedColumnFormula>300*CourseSummary3[[#This Row],[Estimated Paid Credits]]</calculatedColumnFormula>
    </tableColumn>
    <tableColumn id="4" xr3:uid="{094C711F-12AB-47C6-AF47-E666EDBD2EB5}" name="Paid Credits Needed for Positive Course Contribution" totalsRowFunction="sum" dataDxfId="29" totalsRowDxfId="28">
      <calculatedColumnFormula>IF(CourseSummary3[[#This Row],[Course Number and Name]]="","",CEILING((CourseSummary3[[#This Row],[Estimated Costs to Summer Sessions]])/300,1))</calculatedColumnFormula>
    </tableColumn>
    <tableColumn id="6" xr3:uid="{00000000-0010-0000-0700-000006000000}" name="Estimated Surplus" totalsRowFunction="sum" dataDxfId="27" totalsRowDxfId="26" totalsRowCellStyle="Currency">
      <calculatedColumnFormula>IF(CourseSummary3[[#This Row],[Course Number and Name]]="",0,300*CourseSummary3[[#This Row],[Estimated Paid Credits]]-CourseSummary3[[#This Row],[Estimated Costs to Summer Sessions]])</calculatedColumnFormula>
    </tableColumn>
  </tableColumns>
  <tableStyleInfo name="Budget Input" showFirstColumn="0" showLastColumn="1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39997558519241921"/>
    <pageSetUpPr fitToPage="1"/>
  </sheetPr>
  <dimension ref="A1:E34"/>
  <sheetViews>
    <sheetView showGridLines="0" tabSelected="1" zoomScaleNormal="100" zoomScaleSheetLayoutView="100" workbookViewId="0">
      <selection activeCell="B4" sqref="B4"/>
    </sheetView>
  </sheetViews>
  <sheetFormatPr defaultRowHeight="12.75" x14ac:dyDescent="0.2"/>
  <cols>
    <col min="1" max="2" width="34.28515625" style="12" customWidth="1"/>
    <col min="3" max="5" width="14.28515625" style="12" customWidth="1"/>
    <col min="6" max="16384" width="9.140625" style="12"/>
  </cols>
  <sheetData>
    <row r="1" spans="1:5" ht="23.25" x14ac:dyDescent="0.35">
      <c r="A1" s="70" t="s">
        <v>174</v>
      </c>
      <c r="B1" s="70"/>
      <c r="C1" s="70"/>
      <c r="D1" s="11"/>
      <c r="E1" s="11"/>
    </row>
    <row r="2" spans="1:5" ht="19.5" customHeight="1" x14ac:dyDescent="0.2">
      <c r="A2" s="152" t="str">
        <f>CONCATENATE(IF(NameEntry="","Enter department/program name on 'Course Input' worksheet",NameEntry))</f>
        <v>Jurassic Studies</v>
      </c>
      <c r="B2" s="152"/>
      <c r="C2" s="152"/>
      <c r="D2" s="152"/>
      <c r="E2" s="152"/>
    </row>
    <row r="3" spans="1:5" ht="15" x14ac:dyDescent="0.25">
      <c r="A3" s="14" t="s">
        <v>0</v>
      </c>
      <c r="B3" s="14"/>
      <c r="C3" s="13"/>
      <c r="D3" s="71"/>
      <c r="E3" s="71"/>
    </row>
    <row r="4" spans="1:5" ht="14.25" customHeight="1" x14ac:dyDescent="0.2">
      <c r="A4" s="100" t="s">
        <v>1</v>
      </c>
      <c r="B4" s="101" t="s">
        <v>85</v>
      </c>
      <c r="C4" s="13"/>
      <c r="D4" s="29"/>
      <c r="E4" s="29"/>
    </row>
    <row r="5" spans="1:5" ht="14.25" customHeight="1" x14ac:dyDescent="0.2">
      <c r="A5" s="102" t="s">
        <v>2</v>
      </c>
      <c r="B5" s="103" t="s">
        <v>66</v>
      </c>
      <c r="C5" s="13"/>
      <c r="D5" s="29"/>
      <c r="E5" s="29"/>
    </row>
    <row r="6" spans="1:5" x14ac:dyDescent="0.2">
      <c r="A6" s="102" t="s">
        <v>3</v>
      </c>
      <c r="B6" s="103" t="s">
        <v>4</v>
      </c>
      <c r="C6" s="13"/>
      <c r="D6" s="15"/>
      <c r="E6" s="15"/>
    </row>
    <row r="7" spans="1:5" ht="15.75" thickBot="1" x14ac:dyDescent="0.25">
      <c r="A7" s="72" t="s">
        <v>189</v>
      </c>
      <c r="B7" s="72"/>
      <c r="C7" s="72"/>
      <c r="D7" s="72"/>
      <c r="E7" s="72"/>
    </row>
    <row r="8" spans="1:5" x14ac:dyDescent="0.2">
      <c r="A8" s="51" t="s">
        <v>5</v>
      </c>
      <c r="B8" s="51" t="s">
        <v>6</v>
      </c>
      <c r="C8" s="52" t="s">
        <v>7</v>
      </c>
      <c r="D8" s="51" t="s">
        <v>8</v>
      </c>
      <c r="E8" s="51" t="s">
        <v>9</v>
      </c>
    </row>
    <row r="9" spans="1:5" x14ac:dyDescent="0.2">
      <c r="A9" s="77" t="s">
        <v>10</v>
      </c>
      <c r="B9" s="79" t="s">
        <v>13</v>
      </c>
      <c r="C9" s="16">
        <v>60</v>
      </c>
      <c r="D9" s="17" t="s">
        <v>11</v>
      </c>
      <c r="E9" s="16">
        <v>150</v>
      </c>
    </row>
    <row r="10" spans="1:5" x14ac:dyDescent="0.2">
      <c r="A10" s="77" t="s">
        <v>12</v>
      </c>
      <c r="B10" s="79" t="s">
        <v>13</v>
      </c>
      <c r="C10" s="16">
        <v>40</v>
      </c>
      <c r="D10" s="17" t="s">
        <v>11</v>
      </c>
      <c r="E10" s="16">
        <v>90</v>
      </c>
    </row>
    <row r="11" spans="1:5" ht="25.5" x14ac:dyDescent="0.2">
      <c r="A11" s="78" t="s">
        <v>17</v>
      </c>
      <c r="B11" s="79" t="s">
        <v>74</v>
      </c>
      <c r="C11" s="16">
        <v>0</v>
      </c>
      <c r="D11" s="17" t="s">
        <v>11</v>
      </c>
      <c r="E11" s="16">
        <v>0</v>
      </c>
    </row>
    <row r="12" spans="1:5" x14ac:dyDescent="0.2">
      <c r="A12" s="77" t="s">
        <v>14</v>
      </c>
      <c r="B12" s="79" t="s">
        <v>13</v>
      </c>
      <c r="C12" s="16">
        <v>50</v>
      </c>
      <c r="D12" s="17" t="s">
        <v>11</v>
      </c>
      <c r="E12" s="16">
        <v>180</v>
      </c>
    </row>
    <row r="13" spans="1:5" x14ac:dyDescent="0.2">
      <c r="A13" s="77" t="s">
        <v>15</v>
      </c>
      <c r="B13" s="79" t="s">
        <v>75</v>
      </c>
      <c r="C13" s="16">
        <v>20</v>
      </c>
      <c r="D13" s="17" t="s">
        <v>11</v>
      </c>
      <c r="E13" s="16">
        <v>45</v>
      </c>
    </row>
    <row r="14" spans="1:5" x14ac:dyDescent="0.2">
      <c r="A14" s="77" t="s">
        <v>16</v>
      </c>
      <c r="B14" s="79" t="s">
        <v>75</v>
      </c>
      <c r="C14" s="16">
        <v>10</v>
      </c>
      <c r="D14" s="17" t="s">
        <v>11</v>
      </c>
      <c r="E14" s="16">
        <v>12</v>
      </c>
    </row>
    <row r="15" spans="1:5" x14ac:dyDescent="0.2">
      <c r="A15" s="77" t="s">
        <v>2</v>
      </c>
      <c r="B15" s="79" t="s">
        <v>74</v>
      </c>
      <c r="C15" s="16"/>
      <c r="D15" s="17"/>
      <c r="E15" s="16"/>
    </row>
    <row r="16" spans="1:5" x14ac:dyDescent="0.2">
      <c r="A16" s="77"/>
      <c r="B16" s="79"/>
      <c r="C16" s="16"/>
      <c r="D16" s="17"/>
      <c r="E16" s="16"/>
    </row>
    <row r="17" spans="1:5" x14ac:dyDescent="0.2">
      <c r="A17" s="77"/>
      <c r="B17" s="79"/>
      <c r="C17" s="16"/>
      <c r="D17" s="17"/>
      <c r="E17" s="16"/>
    </row>
    <row r="18" spans="1:5" x14ac:dyDescent="0.2">
      <c r="A18" s="77"/>
      <c r="B18" s="79"/>
      <c r="C18" s="16"/>
      <c r="D18" s="17"/>
      <c r="E18" s="16"/>
    </row>
    <row r="19" spans="1:5" x14ac:dyDescent="0.2">
      <c r="A19" s="77"/>
      <c r="B19" s="79"/>
      <c r="C19" s="16"/>
      <c r="D19" s="17"/>
      <c r="E19" s="16"/>
    </row>
    <row r="20" spans="1:5" x14ac:dyDescent="0.2">
      <c r="A20" s="77"/>
      <c r="B20" s="79"/>
      <c r="C20" s="16"/>
      <c r="D20" s="17"/>
      <c r="E20" s="16"/>
    </row>
    <row r="21" spans="1:5" x14ac:dyDescent="0.2">
      <c r="A21" s="77"/>
      <c r="B21" s="79"/>
      <c r="C21" s="16"/>
      <c r="D21" s="17"/>
      <c r="E21" s="16"/>
    </row>
    <row r="22" spans="1:5" x14ac:dyDescent="0.2">
      <c r="A22" s="77"/>
      <c r="B22" s="79"/>
      <c r="C22" s="16"/>
      <c r="D22" s="17"/>
      <c r="E22" s="16"/>
    </row>
    <row r="23" spans="1:5" x14ac:dyDescent="0.2">
      <c r="A23" s="77"/>
      <c r="B23" s="79"/>
      <c r="C23" s="16"/>
      <c r="D23" s="17"/>
      <c r="E23" s="16"/>
    </row>
    <row r="24" spans="1:5" x14ac:dyDescent="0.2">
      <c r="A24" s="77"/>
      <c r="B24" s="79"/>
      <c r="C24" s="16"/>
      <c r="D24" s="17"/>
      <c r="E24" s="16"/>
    </row>
    <row r="25" spans="1:5" x14ac:dyDescent="0.2">
      <c r="A25" s="77"/>
      <c r="B25" s="79"/>
      <c r="C25" s="16"/>
      <c r="D25" s="17"/>
      <c r="E25" s="16"/>
    </row>
    <row r="26" spans="1:5" x14ac:dyDescent="0.2">
      <c r="A26" s="77"/>
      <c r="B26" s="79"/>
      <c r="C26" s="16"/>
      <c r="D26" s="17"/>
      <c r="E26" s="16"/>
    </row>
    <row r="27" spans="1:5" x14ac:dyDescent="0.2">
      <c r="A27" s="77"/>
      <c r="B27" s="79"/>
      <c r="C27" s="16"/>
      <c r="D27" s="17"/>
      <c r="E27" s="16"/>
    </row>
    <row r="28" spans="1:5" x14ac:dyDescent="0.2">
      <c r="A28" s="77"/>
      <c r="B28" s="79"/>
      <c r="C28" s="16"/>
      <c r="D28" s="17"/>
      <c r="E28" s="16"/>
    </row>
    <row r="29" spans="1:5" x14ac:dyDescent="0.2">
      <c r="A29" s="77"/>
      <c r="B29" s="79"/>
      <c r="C29" s="16"/>
      <c r="D29" s="17"/>
      <c r="E29" s="16"/>
    </row>
    <row r="30" spans="1:5" x14ac:dyDescent="0.2">
      <c r="A30" s="77"/>
      <c r="B30" s="79"/>
      <c r="C30" s="16"/>
      <c r="D30" s="17"/>
      <c r="E30" s="16"/>
    </row>
    <row r="31" spans="1:5" x14ac:dyDescent="0.2">
      <c r="A31" s="77"/>
      <c r="B31" s="79"/>
      <c r="C31" s="16"/>
      <c r="D31" s="17"/>
      <c r="E31" s="16"/>
    </row>
    <row r="32" spans="1:5" x14ac:dyDescent="0.2">
      <c r="A32" s="77"/>
      <c r="B32" s="79"/>
      <c r="C32" s="16"/>
      <c r="D32" s="17"/>
      <c r="E32" s="16"/>
    </row>
    <row r="33" spans="1:5" x14ac:dyDescent="0.2">
      <c r="A33" s="77"/>
      <c r="B33" s="79"/>
      <c r="C33" s="16"/>
      <c r="D33" s="17"/>
      <c r="E33" s="16"/>
    </row>
    <row r="34" spans="1:5" x14ac:dyDescent="0.2">
      <c r="B34" s="38"/>
      <c r="C34" s="39">
        <f>SUBTOTAL(109,CourseList[Est Enrollment])</f>
        <v>180</v>
      </c>
      <c r="D34" s="40"/>
      <c r="E34" s="41">
        <f>SUBTOTAL(109,CourseList[Est Paid Credits])</f>
        <v>477</v>
      </c>
    </row>
  </sheetData>
  <sheetProtection sheet="1" selectLockedCells="1" sort="0" autoFilter="0"/>
  <dataConsolidate/>
  <mergeCells count="1">
    <mergeCell ref="A2:E2"/>
  </mergeCells>
  <conditionalFormatting sqref="A15:A33">
    <cfRule type="containsBlanks" dxfId="163" priority="2">
      <formula>LEN(TRIM(A15))=0</formula>
    </cfRule>
  </conditionalFormatting>
  <conditionalFormatting sqref="A9:A33">
    <cfRule type="duplicateValues" dxfId="162" priority="21"/>
  </conditionalFormatting>
  <dataValidations count="5">
    <dataValidation type="whole" errorStyle="information" operator="greaterThanOrEqual" allowBlank="1" showInputMessage="1" showErrorMessage="1" errorTitle="Estimated Paid Credits" error="Value must be greater than or equal to zero. Only whole numbers are accepted." promptTitle="Estimated Paid Credits" prompt="Estimate the number of paid credits" sqref="E9:E33" xr:uid="{00000000-0002-0000-0000-000001000000}">
      <formula1>0</formula1>
    </dataValidation>
    <dataValidation type="whole" errorStyle="information" operator="greaterThanOrEqual" allowBlank="1" showInputMessage="1" showErrorMessage="1" errorTitle="Estimated Enrollment" error="Value must be greater than or equal to zero. Only whole numbers are accepted." promptTitle="Estimated Enrollment" prompt="Indicate the overall planned capacity for the course." sqref="C9:C33" xr:uid="{00000000-0002-0000-0000-000002000000}">
      <formula1>0</formula1>
    </dataValidation>
    <dataValidation type="list" allowBlank="1" showInputMessage="1" showErrorMessage="1" promptTitle="Modality" prompt="Options:_x000a_- Classroom_x000a_- Online (some classroom)_x000a_- Online only_x000a_- Use 'n/a' for non-instructional entries like Summer Term Chair" sqref="B9:B33" xr:uid="{59596111-542B-42FB-AF5C-6509ECA7FB2B}">
      <formula1>"Classroom,Online only,Online (some classroom),n/a"</formula1>
    </dataValidation>
    <dataValidation allowBlank="1" showInputMessage="1" showErrorMessage="1" promptTitle="Summer Courses" prompt="Add all summer courses to this list. _x000a__x000a_Add entries for other summer 131-funded appointments like Summer Term Chair. _x000a__x000a_This column requires unique values." sqref="A9:A33" xr:uid="{98882A6F-7EEC-4603-AED9-06ABE7924231}"/>
    <dataValidation allowBlank="1" showInputMessage="1" showErrorMessage="1" promptTitle="Credit Range" prompt="List the course's credit range. " sqref="D9:D33" xr:uid="{F403178A-F5B7-4FBD-B1B9-9197F461E5A4}"/>
  </dataValidations>
  <pageMargins left="0.25" right="0.25" top="0.75" bottom="0.75" header="0.3" footer="0.3"/>
  <pageSetup orientation="landscape" r:id="rId1"/>
  <headerFooter>
    <oddFooter>&amp;L&amp;D &amp;T&amp;R&amp;F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 tint="0.39997558519241921"/>
    <pageSetUpPr fitToPage="1"/>
  </sheetPr>
  <dimension ref="A1:K38"/>
  <sheetViews>
    <sheetView showGridLines="0" zoomScaleNormal="100" zoomScaleSheetLayoutView="100" workbookViewId="0">
      <selection activeCell="B34" sqref="B34"/>
    </sheetView>
  </sheetViews>
  <sheetFormatPr defaultRowHeight="12.75" x14ac:dyDescent="0.2"/>
  <cols>
    <col min="1" max="1" width="34.28515625" style="19" customWidth="1"/>
    <col min="2" max="2" width="14.7109375" style="19" customWidth="1"/>
    <col min="3" max="3" width="21.5703125" style="19" customWidth="1"/>
    <col min="4" max="4" width="24.140625" style="19" bestFit="1" customWidth="1"/>
    <col min="5" max="5" width="19.140625" style="19" bestFit="1" customWidth="1"/>
    <col min="6" max="7" width="19" style="19" customWidth="1"/>
    <col min="8" max="8" width="19.85546875" style="65" bestFit="1" customWidth="1"/>
    <col min="9" max="9" width="16.28515625" style="65" bestFit="1" customWidth="1"/>
    <col min="10" max="11" width="9.140625" style="65"/>
    <col min="12" max="16384" width="9.140625" style="19"/>
  </cols>
  <sheetData>
    <row r="1" spans="1:11" ht="23.25" customHeight="1" x14ac:dyDescent="0.35">
      <c r="A1" s="18" t="s">
        <v>172</v>
      </c>
      <c r="B1" s="18"/>
      <c r="C1" s="18"/>
      <c r="E1" s="53"/>
      <c r="F1" s="55"/>
      <c r="G1" s="55"/>
      <c r="H1" s="55"/>
      <c r="I1" s="57"/>
    </row>
    <row r="2" spans="1:11" ht="17.25" customHeight="1" x14ac:dyDescent="0.3">
      <c r="A2" s="99" t="str">
        <f>CONCATENATE(IF(NameEntry="","Enter department/program name on 'Course Input' worksheet",NameEntry))</f>
        <v>Jurassic Studies</v>
      </c>
      <c r="B2" s="54"/>
      <c r="C2" s="54"/>
      <c r="D2" s="54"/>
      <c r="E2" s="75"/>
      <c r="F2" s="75"/>
      <c r="G2" s="55"/>
      <c r="H2" s="55"/>
      <c r="I2" s="57"/>
    </row>
    <row r="3" spans="1:11" ht="17.25" x14ac:dyDescent="0.3">
      <c r="A3" s="27" t="s">
        <v>18</v>
      </c>
      <c r="B3" s="25"/>
      <c r="C3" s="25"/>
      <c r="D3" s="25"/>
      <c r="E3" s="25"/>
      <c r="F3" s="35"/>
      <c r="G3" s="35"/>
      <c r="H3" s="64"/>
    </row>
    <row r="4" spans="1:11" x14ac:dyDescent="0.2">
      <c r="A4" s="19" t="s">
        <v>19</v>
      </c>
      <c r="B4" s="19" t="s">
        <v>20</v>
      </c>
      <c r="C4" s="19" t="s">
        <v>21</v>
      </c>
      <c r="D4" s="20" t="s">
        <v>22</v>
      </c>
      <c r="E4" s="19" t="s">
        <v>23</v>
      </c>
      <c r="F4" s="19" t="s">
        <v>76</v>
      </c>
      <c r="G4" s="19" t="s">
        <v>78</v>
      </c>
      <c r="H4" s="65" t="s">
        <v>68</v>
      </c>
    </row>
    <row r="5" spans="1:11" s="22" customFormat="1" x14ac:dyDescent="0.2">
      <c r="A5" s="78" t="s">
        <v>12</v>
      </c>
      <c r="B5" s="21" t="s">
        <v>28</v>
      </c>
      <c r="C5" s="21" t="s">
        <v>26</v>
      </c>
      <c r="D5" s="21" t="s">
        <v>27</v>
      </c>
      <c r="E5" s="83">
        <v>120000</v>
      </c>
      <c r="F5" s="84">
        <v>0.5</v>
      </c>
      <c r="G5" s="86">
        <f>IFERROR(Instructor[[#This Row],[Appt %]]*Instructor[[#This Row],[Base Rate (9 month)]]*SUMIFS(SessionCodes[Multiplier],SessionCodes[Code],Instructor[[#This Row],[Session]]),0)</f>
        <v>13333.333333333332</v>
      </c>
      <c r="H5" s="95">
        <f>IFERROR(Instructor[[#This Row],[Salary]]*1.2,0)</f>
        <v>15999.999999999998</v>
      </c>
      <c r="I5" s="94"/>
      <c r="J5" s="95"/>
      <c r="K5" s="66"/>
    </row>
    <row r="6" spans="1:11" x14ac:dyDescent="0.2">
      <c r="A6" s="78" t="s">
        <v>14</v>
      </c>
      <c r="B6" s="21" t="s">
        <v>28</v>
      </c>
      <c r="C6" s="21" t="s">
        <v>26</v>
      </c>
      <c r="D6" s="21" t="s">
        <v>79</v>
      </c>
      <c r="E6" s="83">
        <v>43388</v>
      </c>
      <c r="F6" s="84">
        <v>0.5</v>
      </c>
      <c r="G6" s="86">
        <f>IFERROR(Instructor[[#This Row],[Appt %]]*Instructor[[#This Row],[Base Rate (9 month)]]*SUMIFS(SessionCodes[Multiplier],SessionCodes[Code],Instructor[[#This Row],[Session]]),0)</f>
        <v>4820.8888888888887</v>
      </c>
      <c r="H6" s="95">
        <f>IFERROR(Instructor[[#This Row],[Salary]]*1.2,0)</f>
        <v>5785.0666666666666</v>
      </c>
      <c r="I6" s="94"/>
      <c r="J6" s="95"/>
      <c r="K6" s="66"/>
    </row>
    <row r="7" spans="1:11" x14ac:dyDescent="0.2">
      <c r="A7" s="78" t="s">
        <v>15</v>
      </c>
      <c r="B7" s="21" t="s">
        <v>125</v>
      </c>
      <c r="C7" s="21" t="s">
        <v>26</v>
      </c>
      <c r="D7" s="21" t="s">
        <v>29</v>
      </c>
      <c r="E7" s="83">
        <v>46350</v>
      </c>
      <c r="F7" s="84">
        <v>1</v>
      </c>
      <c r="G7" s="86">
        <f>IFERROR(Instructor[[#This Row],[Appt %]]*Instructor[[#This Row],[Base Rate (9 month)]]*SUMIFS(SessionCodes[Multiplier],SessionCodes[Code],Instructor[[#This Row],[Session]]),0)</f>
        <v>5150</v>
      </c>
      <c r="H7" s="95">
        <f>IFERROR(Instructor[[#This Row],[Salary]]*1.2,0)</f>
        <v>6180</v>
      </c>
      <c r="I7" s="94"/>
      <c r="J7" s="95"/>
      <c r="K7" s="66"/>
    </row>
    <row r="8" spans="1:11" x14ac:dyDescent="0.2">
      <c r="A8" s="78" t="s">
        <v>16</v>
      </c>
      <c r="B8" s="21" t="s">
        <v>156</v>
      </c>
      <c r="C8" s="21" t="s">
        <v>26</v>
      </c>
      <c r="D8" s="21" t="s">
        <v>31</v>
      </c>
      <c r="E8" s="83">
        <v>124622</v>
      </c>
      <c r="F8" s="84">
        <v>1</v>
      </c>
      <c r="G8" s="86">
        <f>IFERROR(Instructor[[#This Row],[Appt %]]*Instructor[[#This Row],[Base Rate (9 month)]]*SUMIFS(SessionCodes[Multiplier],SessionCodes[Code],Instructor[[#This Row],[Session]]),0)</f>
        <v>13846.888888888889</v>
      </c>
      <c r="H8" s="95">
        <f>IFERROR(Instructor[[#This Row],[Salary]]*1.2,0)</f>
        <v>16616.266666666666</v>
      </c>
      <c r="I8" s="94"/>
      <c r="J8" s="95"/>
      <c r="K8" s="66"/>
    </row>
    <row r="9" spans="1:11" x14ac:dyDescent="0.2">
      <c r="A9" s="78" t="s">
        <v>2</v>
      </c>
      <c r="B9" s="21" t="s">
        <v>28</v>
      </c>
      <c r="C9" s="21" t="s">
        <v>26</v>
      </c>
      <c r="D9" s="21" t="s">
        <v>187</v>
      </c>
      <c r="E9" s="83">
        <v>120000</v>
      </c>
      <c r="F9" s="84">
        <v>0.5</v>
      </c>
      <c r="G9" s="86">
        <f>IFERROR(Instructor[[#This Row],[Appt %]]*Instructor[[#This Row],[Base Rate (9 month)]]*SUMIFS(SessionCodes[Multiplier],SessionCodes[Code],Instructor[[#This Row],[Session]]),0)</f>
        <v>13333.333333333332</v>
      </c>
      <c r="H9" s="95">
        <f>IFERROR(Instructor[[#This Row],[Salary]]*1.2,0)</f>
        <v>15999.999999999998</v>
      </c>
      <c r="I9" s="94"/>
      <c r="J9" s="95"/>
      <c r="K9" s="66"/>
    </row>
    <row r="10" spans="1:11" x14ac:dyDescent="0.2">
      <c r="C10" s="20"/>
      <c r="D10" s="20"/>
      <c r="E10" s="20"/>
      <c r="F10" s="20"/>
      <c r="G10" s="85">
        <f>SUBTOTAL(109,Instructor[Salary])</f>
        <v>50484.444444444438</v>
      </c>
      <c r="H10" s="85">
        <f>SUBTOTAL(109,Instructor[Salary w/ 20% Fringe])</f>
        <v>60581.333333333328</v>
      </c>
      <c r="I10" s="94"/>
      <c r="J10" s="95"/>
      <c r="K10" s="66"/>
    </row>
    <row r="11" spans="1:11" ht="17.25" x14ac:dyDescent="0.3">
      <c r="A11" s="27" t="s">
        <v>32</v>
      </c>
      <c r="B11" s="25"/>
      <c r="C11" s="25"/>
      <c r="D11" s="25"/>
      <c r="E11" s="25"/>
      <c r="F11" s="25"/>
      <c r="G11" s="25"/>
      <c r="H11" s="67"/>
      <c r="I11" s="68"/>
      <c r="J11" s="85"/>
      <c r="K11" s="66"/>
    </row>
    <row r="12" spans="1:11" x14ac:dyDescent="0.2">
      <c r="A12" s="32" t="s">
        <v>19</v>
      </c>
      <c r="B12" s="32" t="s">
        <v>20</v>
      </c>
      <c r="C12" s="32" t="s">
        <v>21</v>
      </c>
      <c r="D12" s="32" t="s">
        <v>64</v>
      </c>
      <c r="E12" s="32" t="s">
        <v>33</v>
      </c>
      <c r="F12" s="32" t="s">
        <v>76</v>
      </c>
      <c r="G12" s="20" t="s">
        <v>78</v>
      </c>
      <c r="H12" s="68" t="s">
        <v>84</v>
      </c>
      <c r="I12" s="31"/>
    </row>
    <row r="13" spans="1:11" x14ac:dyDescent="0.2">
      <c r="A13" s="78" t="s">
        <v>10</v>
      </c>
      <c r="B13" s="21" t="s">
        <v>25</v>
      </c>
      <c r="C13" s="21" t="s">
        <v>26</v>
      </c>
      <c r="D13" s="96">
        <v>2</v>
      </c>
      <c r="E13" s="89">
        <v>42231</v>
      </c>
      <c r="F13" s="84">
        <v>0.5</v>
      </c>
      <c r="G13" s="88">
        <f>IFERROR((TA[[#This Row],[TA Base Rate]]*TA[[#This Row],[Appt %]]*SUMIFS(SessionCodes[Multiplier],SessionCodes[Code],TA[[#This Row],[Session]])*TA[[#This Row],['# of TA''s]]),0)</f>
        <v>4692.333333333333</v>
      </c>
      <c r="H13" s="105">
        <f>IFERROR(TA[[#This Row],[Salary]]*1.05,"")</f>
        <v>4926.95</v>
      </c>
    </row>
    <row r="14" spans="1:11" x14ac:dyDescent="0.2">
      <c r="A14" s="78" t="s">
        <v>12</v>
      </c>
      <c r="B14" s="21" t="s">
        <v>28</v>
      </c>
      <c r="C14" s="21" t="s">
        <v>26</v>
      </c>
      <c r="D14" s="96">
        <v>1</v>
      </c>
      <c r="E14" s="89">
        <v>42231</v>
      </c>
      <c r="F14" s="84">
        <v>0.5</v>
      </c>
      <c r="G14" s="88">
        <f>IFERROR((TA[[#This Row],[TA Base Rate]]*TA[[#This Row],[Appt %]]*SUMIFS(SessionCodes[Multiplier],SessionCodes[Code],TA[[#This Row],[Session]])*TA[[#This Row],['# of TA''s]]),0)</f>
        <v>4692.333333333333</v>
      </c>
      <c r="H14" s="105">
        <f>IFERROR(TA[[#This Row],[Salary]]*1.05,"")</f>
        <v>4926.95</v>
      </c>
      <c r="I14" s="68"/>
    </row>
    <row r="15" spans="1:11" ht="25.5" x14ac:dyDescent="0.2">
      <c r="A15" s="78" t="s">
        <v>17</v>
      </c>
      <c r="B15" s="151" t="s">
        <v>25</v>
      </c>
      <c r="C15" s="21" t="s">
        <v>188</v>
      </c>
      <c r="D15" s="125">
        <v>1</v>
      </c>
      <c r="E15" s="89">
        <v>42231</v>
      </c>
      <c r="F15" s="126">
        <v>0.5</v>
      </c>
      <c r="G15" s="127">
        <f>IFERROR((TA[[#This Row],[TA Base Rate]]*TA[[#This Row],[Appt %]]*SUMIFS(SessionCodes[Multiplier],SessionCodes[Code],TA[[#This Row],[Session]])*TA[[#This Row],['# of TA''s]]),0)</f>
        <v>2346.1666666666665</v>
      </c>
      <c r="H15" s="128">
        <f>IFERROR(TA[[#This Row],[Salary]]*1.05,"")</f>
        <v>2463.4749999999999</v>
      </c>
      <c r="I15" s="69"/>
    </row>
    <row r="16" spans="1:11" x14ac:dyDescent="0.2">
      <c r="A16" s="78" t="s">
        <v>14</v>
      </c>
      <c r="B16" s="21" t="s">
        <v>28</v>
      </c>
      <c r="C16" s="21" t="s">
        <v>26</v>
      </c>
      <c r="D16" s="96">
        <v>2</v>
      </c>
      <c r="E16" s="89">
        <v>42231</v>
      </c>
      <c r="F16" s="84">
        <v>0.5</v>
      </c>
      <c r="G16" s="88">
        <f>IFERROR((TA[[#This Row],[TA Base Rate]]*TA[[#This Row],[Appt %]]*SUMIFS(SessionCodes[Multiplier],SessionCodes[Code],TA[[#This Row],[Session]])*TA[[#This Row],['# of TA''s]]),0)</f>
        <v>9384.6666666666661</v>
      </c>
      <c r="H16" s="105">
        <f>IFERROR(TA[[#This Row],[Salary]]*1.05,"")</f>
        <v>9853.9</v>
      </c>
      <c r="I16" s="69"/>
    </row>
    <row r="17" spans="1:9" x14ac:dyDescent="0.2">
      <c r="A17" s="32"/>
      <c r="B17" s="32"/>
      <c r="C17" s="32"/>
      <c r="D17" s="32"/>
      <c r="E17" s="32"/>
      <c r="F17" s="32"/>
      <c r="G17" s="87">
        <f>SUBTOTAL(109,TA[Salary])</f>
        <v>21115.5</v>
      </c>
      <c r="H17" s="87">
        <f>SUBTOTAL(109,TA[Salary w/ 5% Fringe])</f>
        <v>22171.275000000001</v>
      </c>
      <c r="I17" s="69"/>
    </row>
    <row r="18" spans="1:9" ht="16.5" x14ac:dyDescent="0.3">
      <c r="A18" s="27" t="s">
        <v>69</v>
      </c>
      <c r="B18" s="22"/>
      <c r="C18" s="22"/>
      <c r="D18" s="24"/>
      <c r="E18" s="30"/>
      <c r="I18" s="69"/>
    </row>
    <row r="19" spans="1:9" x14ac:dyDescent="0.2">
      <c r="A19" s="22" t="s">
        <v>19</v>
      </c>
      <c r="B19" s="22" t="s">
        <v>20</v>
      </c>
      <c r="C19" s="22" t="s">
        <v>21</v>
      </c>
      <c r="D19" s="22" t="s">
        <v>22</v>
      </c>
      <c r="E19" s="58" t="s">
        <v>67</v>
      </c>
      <c r="F19" s="30" t="s">
        <v>68</v>
      </c>
      <c r="H19" s="19"/>
      <c r="I19" s="69"/>
    </row>
    <row r="20" spans="1:9" ht="25.5" x14ac:dyDescent="0.2">
      <c r="A20" s="80" t="s">
        <v>10</v>
      </c>
      <c r="B20" s="22" t="s">
        <v>28</v>
      </c>
      <c r="C20" s="21" t="s">
        <v>26</v>
      </c>
      <c r="D20" s="21" t="s">
        <v>86</v>
      </c>
      <c r="E20" s="90">
        <v>10000</v>
      </c>
      <c r="F20" s="106">
        <f>Other[[#This Row],[Target Salary]]*1.2</f>
        <v>12000</v>
      </c>
      <c r="H20" s="19"/>
      <c r="I20" s="33"/>
    </row>
    <row r="21" spans="1:9" x14ac:dyDescent="0.2">
      <c r="A21" s="22"/>
      <c r="B21" s="22"/>
      <c r="C21" s="21"/>
      <c r="D21" s="21"/>
      <c r="E21" s="87">
        <f>SUBTOTAL(109,Other[Target Salary])</f>
        <v>10000</v>
      </c>
      <c r="F21" s="91">
        <f>SUBTOTAL(109,Other[Salary w/ 20% Fringe])</f>
        <v>12000</v>
      </c>
      <c r="H21" s="19"/>
    </row>
    <row r="22" spans="1:9" ht="17.25" x14ac:dyDescent="0.3">
      <c r="A22" s="27" t="s">
        <v>70</v>
      </c>
      <c r="B22" s="25"/>
      <c r="C22" s="25"/>
      <c r="D22" s="25"/>
      <c r="E22" s="25"/>
      <c r="H22" s="19"/>
    </row>
    <row r="23" spans="1:9" x14ac:dyDescent="0.2">
      <c r="A23" s="56" t="s">
        <v>19</v>
      </c>
      <c r="B23" s="56" t="s">
        <v>21</v>
      </c>
      <c r="C23" s="56" t="s">
        <v>35</v>
      </c>
      <c r="D23" s="56" t="s">
        <v>24</v>
      </c>
      <c r="E23" s="56" t="s">
        <v>34</v>
      </c>
      <c r="F23" s="22"/>
    </row>
    <row r="24" spans="1:9" x14ac:dyDescent="0.2">
      <c r="A24" s="81" t="s">
        <v>15</v>
      </c>
      <c r="B24" s="21" t="s">
        <v>26</v>
      </c>
      <c r="C24" s="97">
        <v>50</v>
      </c>
      <c r="D24" s="93">
        <f>Reader[[#This Row],['# of Hours]]*22.22</f>
        <v>1111</v>
      </c>
      <c r="E24" s="107">
        <f>Reader[[#This Row],[Cost]]*1.05</f>
        <v>1166.55</v>
      </c>
    </row>
    <row r="25" spans="1:9" x14ac:dyDescent="0.2">
      <c r="A25" s="22"/>
      <c r="B25" s="22"/>
      <c r="C25" s="22"/>
      <c r="D25" s="92"/>
      <c r="E25" s="92">
        <f>SUBTOTAL(109,Reader[Cost w/ 5% Fringe])</f>
        <v>1166.55</v>
      </c>
    </row>
    <row r="26" spans="1:9" ht="17.25" x14ac:dyDescent="0.3">
      <c r="A26" s="27" t="s">
        <v>71</v>
      </c>
      <c r="B26" s="25"/>
      <c r="C26" s="25"/>
      <c r="D26" s="25"/>
      <c r="E26" s="25"/>
      <c r="F26" s="23"/>
    </row>
    <row r="27" spans="1:9" x14ac:dyDescent="0.2">
      <c r="A27" s="56" t="s">
        <v>19</v>
      </c>
      <c r="B27" s="56" t="s">
        <v>21</v>
      </c>
      <c r="C27" s="56" t="s">
        <v>24</v>
      </c>
      <c r="D27" s="56" t="s">
        <v>34</v>
      </c>
    </row>
    <row r="28" spans="1:9" x14ac:dyDescent="0.2">
      <c r="A28" s="81" t="s">
        <v>10</v>
      </c>
      <c r="B28" s="21" t="s">
        <v>26</v>
      </c>
      <c r="C28" s="90">
        <v>400</v>
      </c>
      <c r="D28" s="107">
        <f>Student[[#This Row],[Cost]]*1.05</f>
        <v>420</v>
      </c>
    </row>
    <row r="29" spans="1:9" x14ac:dyDescent="0.2">
      <c r="A29" s="22"/>
      <c r="B29" s="22"/>
      <c r="C29" s="92">
        <f>SUBTOTAL(109,Student[Cost])</f>
        <v>400</v>
      </c>
      <c r="D29" s="92">
        <f>SUBTOTAL(109,Student[Cost w/ 5% Fringe])</f>
        <v>420</v>
      </c>
      <c r="E29" s="23"/>
    </row>
    <row r="30" spans="1:9" ht="17.25" x14ac:dyDescent="0.3">
      <c r="A30" s="27" t="s">
        <v>72</v>
      </c>
      <c r="B30" s="25"/>
      <c r="C30" s="25"/>
      <c r="D30" s="25"/>
    </row>
    <row r="31" spans="1:9" x14ac:dyDescent="0.2">
      <c r="A31" s="56" t="s">
        <v>19</v>
      </c>
      <c r="B31" s="56" t="s">
        <v>21</v>
      </c>
      <c r="C31" s="56" t="s">
        <v>37</v>
      </c>
      <c r="D31" s="56" t="s">
        <v>24</v>
      </c>
    </row>
    <row r="32" spans="1:9" x14ac:dyDescent="0.2">
      <c r="A32" s="82" t="s">
        <v>10</v>
      </c>
      <c r="B32" s="21" t="s">
        <v>26</v>
      </c>
      <c r="C32" s="34" t="s">
        <v>38</v>
      </c>
      <c r="D32" s="108">
        <v>500</v>
      </c>
    </row>
    <row r="33" spans="1:4" x14ac:dyDescent="0.2">
      <c r="A33" s="22"/>
      <c r="B33" s="22"/>
      <c r="C33" s="26"/>
      <c r="D33" s="92">
        <f>SUBTOTAL(109,SE[Cost])</f>
        <v>500</v>
      </c>
    </row>
    <row r="34" spans="1:4" x14ac:dyDescent="0.2">
      <c r="A34" s="76" t="s">
        <v>36</v>
      </c>
      <c r="B34" s="98"/>
    </row>
    <row r="35" spans="1:4" x14ac:dyDescent="0.2">
      <c r="A35" s="74" t="s">
        <v>73</v>
      </c>
      <c r="B35" s="63">
        <f>SUMIFS(Instructor[Salary w/ 20% Fringe],Instructor[Funding],"Summer Sessions",Instructor[Course],"")+SUMIFS(TA[Salary w/ 5% Fringe],TA[Funding],"Summer Sessions",TA[Course],"")+SUMIFS(Other[Salary w/ 20% Fringe],Other[Funding],"Summer Sessions",Other[Course],"")+SUMIFS(Reader[Cost w/ 5% Fringe],Reader[Funding],"Summer Sessions",Reader[Course],"")+SUMIFS(Student[Cost w/ 5% Fringe],Student[Funding],"Summer Sessions",Student[Course],"")+SUMIFS(SE[Cost],SE[Funding],"Summer Sessions",SE[Course],"")</f>
        <v>0</v>
      </c>
    </row>
    <row r="38" spans="1:4" x14ac:dyDescent="0.2">
      <c r="A38" s="62"/>
    </row>
  </sheetData>
  <sheetProtection formatCells="0" formatColumns="0" formatRows="0" insertColumns="0" insertRows="0" insertHyperlinks="0" deleteColumns="0" deleteRows="0" selectLockedCells="1" sort="0" autoFilter="0" pivotTables="0"/>
  <dataConsolidate/>
  <phoneticPr fontId="23" type="noConversion"/>
  <conditionalFormatting sqref="A35:B35">
    <cfRule type="expression" dxfId="139" priority="3">
      <formula>NoCourse&lt;&gt;0</formula>
    </cfRule>
  </conditionalFormatting>
  <dataValidations xWindow="317" yWindow="720" count="27">
    <dataValidation type="decimal" allowBlank="1" showInputMessage="1" showErrorMessage="1" errorTitle="Appt %" error="Requires value between 0-100%" promptTitle="Appt %" prompt="Planned appointment percentage" sqref="F13:F16" xr:uid="{00000000-0002-0000-0100-000003000000}">
      <formula1>0</formula1>
      <formula2>1</formula2>
    </dataValidation>
    <dataValidation allowBlank="1" showInputMessage="1" showErrorMessage="1" promptTitle="TA Salary (calculated value)" prompt="The TA salary column is calculated based on the Session, # of TAs, TA Base Rate and Appt % fields" sqref="G13:G16" xr:uid="{B42FC1E5-A5D4-47D1-9E11-636FEE1A239B}"/>
    <dataValidation errorStyle="information" allowBlank="1" showInputMessage="1" promptTitle="Instructor name &amp; title" prompt="Add name &amp; title if known" sqref="D20" xr:uid="{E598B0E0-24C9-4549-AA78-C71FF72AC9CF}"/>
    <dataValidation allowBlank="1" showInputMessage="1" showErrorMessage="1" promptTitle="Calculated Columns" prompt="This column contains formulas and should not be modified." sqref="K5:K11" xr:uid="{77F7DBBA-9436-4645-BF7D-C78F6C55E263}"/>
    <dataValidation allowBlank="1" showInputMessage="1" showErrorMessage="1" promptTitle="Salary w/ Fringe (calculated)" prompt="This field is the Salary column plus a 20% fringe estimate. This value is used for the Financial Summary page." sqref="F20" xr:uid="{4D488862-E92E-483F-B4BE-2BA385ADE4EB}"/>
    <dataValidation allowBlank="1" showInputMessage="1" showErrorMessage="1" promptTitle="Reader Salary (calculated value)" prompt="The reader cost is the number of hours multiplied by $22.22/hr" sqref="D24" xr:uid="{280A6C54-0147-4E5A-BB10-77914FF35F7F}"/>
    <dataValidation type="list" allowBlank="1" showInputMessage="1" showErrorMessage="1" errorTitle="Course Selection" error="Update the 'Course Input' page to add courses." promptTitle="Course Dropdown" prompt="This column is populated by the courses on the 'Course Input' page." sqref="A32 A28 A20 A24 A13:A16 A5:A9" xr:uid="{04BFA6ED-B271-480A-9E0D-3ED4EB7358DB}">
      <formula1>DropdownCourse</formula1>
    </dataValidation>
    <dataValidation allowBlank="1" showInputMessage="1" showErrorMessage="1" promptTitle="Salary" prompt="(calculated value) The salary column is calculated based on the Session, Base Rate and Appt % fields." sqref="I5:J10" xr:uid="{B2B8DAE0-48F0-415D-85D5-B011DE5EC3D6}"/>
    <dataValidation allowBlank="1" showInputMessage="1" showErrorMessage="1" promptTitle="Calculated Columns" prompt="These columns contain formulas. Do NOT modify for teaching assistants." sqref="I15:I19" xr:uid="{A7EFA4BC-890D-4D12-8DFC-7675E3F9099A}"/>
    <dataValidation type="whole" operator="greaterThanOrEqual" allowBlank="1" showInputMessage="1" showErrorMessage="1" errorTitle="# of TAs" error="This field requires a whole number" promptTitle="Number of TAs" prompt="Enter ancitipated # of TAs (headcount) for the course. " sqref="D13:D16" xr:uid="{F4DDAA54-046E-4A4C-B173-966347319816}">
      <formula1>0</formula1>
    </dataValidation>
    <dataValidation type="whole" operator="greaterThanOrEqual" allowBlank="1" showInputMessage="1" showErrorMessage="1" promptTitle="TA Base Rate" prompt="Full-time, 9-month rate._x000a_Most = $42,231 or $46,454_x000a__x000a_KB 28638 lists STS &amp; Student Assistant rates." sqref="E13:E16" xr:uid="{7B66CB46-8F04-4635-9244-9B8300435FF4}">
      <formula1>0</formula1>
    </dataValidation>
    <dataValidation allowBlank="1" showInputMessage="1" showErrorMessage="1" promptTitle="TA Salary w/ Fringe (calculated)" prompt="This field is the Salary column plus a 5% fringe estimate. This value is used for the Financial Summary page." sqref="H13:H16" xr:uid="{DBC9E81A-5930-40CF-8C0E-32ECA86DA6B3}"/>
    <dataValidation allowBlank="1" showInputMessage="1" showErrorMessage="1" promptTitle="Target salary" prompt="This field is used for instructor salaries that are not based on a 9-month salary (e.g., 12-month, hourly). List the total estimated salary for this instructor, and add details to the 'Notes' page." sqref="E20" xr:uid="{9F76DBA0-EC94-476D-9103-EB94F818FCBA}"/>
    <dataValidation type="whole" operator="greaterThanOrEqual" allowBlank="1" showInputMessage="1" showErrorMessage="1" errorTitle="Reader hours" error="Field requires a whole number, greater than zero." promptTitle="Reader Hour Estimate" prompt="Estimated number of reader hours." sqref="C24" xr:uid="{589871C6-E64B-4644-8186-EF0E010BAF6B}">
      <formula1>0</formula1>
    </dataValidation>
    <dataValidation allowBlank="1" showInputMessage="1" showErrorMessage="1" promptTitle="Cost w/ Fringe (Calculated)" prompt="This field is the reader cost column plus a 5% fringe estimate. This value is used for the Financial Summary page." sqref="E24" xr:uid="{A2B0D17E-E399-4B56-881A-BCF40E8F882F}"/>
    <dataValidation type="whole" operator="greaterThanOrEqual" allowBlank="1" showInputMessage="1" showErrorMessage="1" errorTitle="Student Hourly Cost" error="Field requires a whole number, greater than zero." promptTitle="Student Hourly Costs" prompt="List total cost estimate for student hourlies in this course." sqref="C28" xr:uid="{48639B8C-9DAC-4211-AF65-83A539F3C94F}">
      <formula1>0</formula1>
    </dataValidation>
    <dataValidation allowBlank="1" showInputMessage="1" showErrorMessage="1" promptTitle="SH Salary w/ Fringe (Calculated)" prompt="This field is the student hourly cost column plus a 5% fringe estimate. This value is used for the Financial Summary page." sqref="D28" xr:uid="{D53C5871-5EB7-422D-B5D4-AD7284482BA1}"/>
    <dataValidation allowBlank="1" showInputMessage="1" showErrorMessage="1" promptTitle="Explanation of S&amp;E Cost" prompt="Brief description of S&amp;E expenses" sqref="C32" xr:uid="{3D2F7114-BA55-4573-A920-96C3BE0E02FA}"/>
    <dataValidation type="whole" operator="greaterThanOrEqual" allowBlank="1" showInputMessage="1" showErrorMessage="1" errorTitle="Cost" error="Field requires a whole number, greater than zero." promptTitle="Estimated S&amp;E Costs" prompt="List total cost estimate for S&amp;E in this course. This field is used for the Financial Summary page." sqref="D32" xr:uid="{BD4178A7-6F82-49E1-989B-88F3755099AD}">
      <formula1>0</formula1>
    </dataValidation>
    <dataValidation type="whole" operator="greaterThanOrEqual" allowBlank="1" showInputMessage="1" showErrorMessage="1" errorTitle="Subsidy" error="Field requires a whole number, greater than zero." promptTitle="Subsidy" prompt="If receiving a subsidy, list the amount here." sqref="B34" xr:uid="{F2AEE578-FA8A-4634-99D4-A13FAA1F205B}">
      <formula1>0</formula1>
    </dataValidation>
    <dataValidation type="list" allowBlank="1" showInputMessage="1" showErrorMessage="1" errorTitle="Session Code" error="Enter the course's three character session code." promptTitle="Session Code" prompt="Enter the course's three character session code. See the 'Summer Session Codes' page for a full list of sessions._x000a__x000a_Four week sessions:_x000a_ZDD: 5/22/23 - 6/18/23_x000a_DDD: 6/19/23 - 7/16/23_x000a_HDD: 7/17/23 - 8/13/23_x000a__x000a_General eight week session:_x000a_DHH: 6/19/23 - 8/13/23" sqref="B20 B13:B16 B5:B9" xr:uid="{89D77CF0-BE10-4C13-A7F5-7CC3FFEBA01C}">
      <formula1>INDIRECT("sessioncodes[code]")</formula1>
    </dataValidation>
    <dataValidation type="list" allowBlank="1" showInputMessage="1" showErrorMessage="1" errorTitle="Funding" error="Select 'Summer Sessions' or 'Other'." promptTitle="Funding" prompt="'Summer Sessions' is the default funding._x000a__x000a_If selecting 'Other' add details to the 'Notes' page" sqref="B24 C20 B32 B28 C13:C16 C5:C9" xr:uid="{F3A931B0-9CCF-4C43-AE87-26C48E0F0994}">
      <formula1>"Summer Sessions,Other"</formula1>
    </dataValidation>
    <dataValidation type="whole" operator="greaterThanOrEqual" allowBlank="1" showInputMessage="1" showErrorMessage="1" errorTitle="9-month rate" error="List full-time, 9-month rate of the instructor._x000a_Instructors with other pay-bases should be added to table #5 Other Salaries." promptTitle="9-month rate" prompt="List the current full-time, 9-month rate of the instructor._x000a__x000a_Standard STS &amp; Student Assistant rates are available on KB 28638._x000a__x000a_Appointments that do not have 9-month base rates (e.g., 12-month or hourly) should be listed in table #5 Other Salaries." sqref="E5:E9" xr:uid="{BDBBA1E8-75F9-4914-B24F-E9D89E07ED06}">
      <formula1>0</formula1>
    </dataValidation>
    <dataValidation allowBlank="1" showInputMessage="1" showErrorMessage="1" promptTitle="Instructor name &amp; title" prompt="Add name &amp; title if known" sqref="D5:D9" xr:uid="{2325BCBA-3754-419A-90ED-3CEFB3B7A5FA}"/>
    <dataValidation operator="greaterThanOrEqual" allowBlank="1" showInputMessage="1" showErrorMessage="1" promptTitle="Salary w/ Fringe (calculated)" prompt="This field is the Salary column plus a 20% fringe estimate. This value is used for the Financial Summary page." sqref="H5:H9" xr:uid="{7A361365-D8E6-4C75-977A-E46DCE92120E}"/>
    <dataValidation operator="greaterThanOrEqual" allowBlank="1" showInputMessage="1" showErrorMessage="1" promptTitle="Salary (calculated value)" prompt="The salary column is calculated based on the Session, Base Rate and Appt % fields." sqref="G5:G9" xr:uid="{A009DF94-CA4D-4B92-93D5-E3E24FBCB420}"/>
    <dataValidation type="decimal" allowBlank="1" showInputMessage="1" showErrorMessage="1" errorTitle="Appt %" error="Requires value between 0-100%" promptTitle="Appt %" prompt="Planned appointment percentage. _x000a_Common appointment levels:_x000a_- 4 week course = 100%_x000a_- 6 week course = 66.7%_x000a_- 8 week course = 50%_x000a_" sqref="F5:F9" xr:uid="{16ADB3FF-2843-446D-AA55-A4C3AD47AAAC}">
      <formula1>0</formula1>
      <formula2>1</formula2>
    </dataValidation>
  </dataValidations>
  <pageMargins left="0.25" right="0.25" top="0.75" bottom="0.75" header="0.3" footer="0.3"/>
  <pageSetup scale="80" fitToHeight="0" orientation="landscape" r:id="rId1"/>
  <headerFooter>
    <oddFooter>&amp;L&amp;D &amp;T&amp;R&amp;Z&amp;F</oddFooter>
  </headerFooter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39997558519241921"/>
    <pageSetUpPr fitToPage="1"/>
  </sheetPr>
  <dimension ref="A1:J32"/>
  <sheetViews>
    <sheetView showGridLines="0" showRowColHeaders="0" topLeftCell="B1" zoomScaleNormal="100" zoomScaleSheetLayoutView="100" workbookViewId="0">
      <selection activeCell="C33" sqref="C33"/>
    </sheetView>
  </sheetViews>
  <sheetFormatPr defaultRowHeight="14.25" x14ac:dyDescent="0.25"/>
  <cols>
    <col min="1" max="1" width="5.85546875" hidden="1" customWidth="1"/>
    <col min="2" max="2" width="34.28515625" customWidth="1"/>
    <col min="3" max="3" width="20.7109375" customWidth="1"/>
    <col min="4" max="4" width="15.28515625" customWidth="1"/>
    <col min="5" max="7" width="11.42578125" customWidth="1"/>
    <col min="8" max="10" width="17.140625" customWidth="1"/>
    <col min="11" max="11" width="9" bestFit="1" customWidth="1"/>
  </cols>
  <sheetData>
    <row r="1" spans="1:10" ht="23.25" x14ac:dyDescent="0.35">
      <c r="A1" s="2"/>
      <c r="B1" s="153" t="s">
        <v>171</v>
      </c>
      <c r="C1" s="153"/>
      <c r="D1" s="153"/>
      <c r="E1" s="153"/>
      <c r="F1" s="153"/>
      <c r="G1" s="153"/>
      <c r="H1" s="153"/>
      <c r="I1" s="153"/>
      <c r="J1" s="153"/>
    </row>
    <row r="2" spans="1:10" ht="17.25" x14ac:dyDescent="0.25">
      <c r="A2" s="3"/>
      <c r="B2" s="113" t="str">
        <f>CONCATENATE(IF(NameEntry="","Enter department/program name on 'Course Input' worksheet",NameEntry))</f>
        <v>Jurassic Studies</v>
      </c>
      <c r="C2" s="113"/>
      <c r="D2" s="113"/>
      <c r="E2" s="113"/>
      <c r="F2" s="113"/>
      <c r="G2" s="113"/>
      <c r="H2" s="113"/>
      <c r="I2" s="113"/>
      <c r="J2" s="113"/>
    </row>
    <row r="3" spans="1:10" ht="39" x14ac:dyDescent="0.25">
      <c r="A3" s="4" t="s">
        <v>39</v>
      </c>
      <c r="B3" s="114" t="s">
        <v>40</v>
      </c>
      <c r="C3" s="73" t="s">
        <v>6</v>
      </c>
      <c r="D3" s="73" t="s">
        <v>41</v>
      </c>
      <c r="E3" s="115" t="s">
        <v>7</v>
      </c>
      <c r="F3" s="115" t="s">
        <v>8</v>
      </c>
      <c r="G3" s="73" t="s">
        <v>42</v>
      </c>
      <c r="H3" s="73" t="s">
        <v>43</v>
      </c>
      <c r="I3" s="43" t="s">
        <v>45</v>
      </c>
      <c r="J3" s="73" t="s">
        <v>44</v>
      </c>
    </row>
    <row r="4" spans="1:10" x14ac:dyDescent="0.25">
      <c r="A4" s="5">
        <v>1</v>
      </c>
      <c r="B4" s="42" t="str">
        <f>IF(INDEX(CourseList[Course Number &amp; Name],CourseSummary3[[#This Row],[Index]],1)=0,"",INDEX(CourseList[Course Number &amp; Name],CourseSummary3[[#This Row],[Index]],1))</f>
        <v>101 Intro to X</v>
      </c>
      <c r="C4" s="6" t="str">
        <f>IF(INDEX(CourseList[Course Number &amp; Name],CourseSummary3[[#This Row],[Index]],1)=0,"",INDEX(CourseList[Instruction Mode],CourseSummary3[[#This Row],[Index]],1))</f>
        <v>Online only</v>
      </c>
      <c r="D4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17846.95</v>
      </c>
      <c r="E4" s="6">
        <f>IF(INDEX(CourseList[Course Number &amp; Name],CourseSummary3[[#This Row],[Index]],1)=0,0,INDEX(CourseList[Est Enrollment],CourseSummary3[[#This Row],[Index]],1))</f>
        <v>60</v>
      </c>
      <c r="F4" s="7" t="str">
        <f>IF(INDEX(CourseList[Course Number &amp; Name],CourseSummary3[[#This Row],[Index]],1)=0,0,INDEX(CourseList[Credit Range],CourseSummary3[[#This Row],[Index]],1))</f>
        <v>3</v>
      </c>
      <c r="G4" s="6">
        <f>IF(INDEX(CourseList[Course Number &amp; Name],CourseSummary3[[#This Row],[Index]],1)=0,0,INDEX(CourseList[Est Paid Credits],CourseSummary3[[#This Row],[Index]],1))</f>
        <v>150</v>
      </c>
      <c r="H4" s="111">
        <f>300*CourseSummary3[[#This Row],[Estimated Paid Credits]]</f>
        <v>45000</v>
      </c>
      <c r="I4" s="104">
        <f>IF(CourseSummary3[[#This Row],[Course Number and Name]]="","",CEILING((CourseSummary3[[#This Row],[Estimated Costs to Summer Sessions]])/300,1))</f>
        <v>60</v>
      </c>
      <c r="J4" s="111">
        <f>IF(CourseSummary3[[#This Row],[Course Number and Name]]="",0,300*CourseSummary3[[#This Row],[Estimated Paid Credits]]-CourseSummary3[[#This Row],[Estimated Costs to Summer Sessions]])</f>
        <v>27153.05</v>
      </c>
    </row>
    <row r="5" spans="1:10" x14ac:dyDescent="0.25">
      <c r="A5" s="8">
        <f>A4+1</f>
        <v>2</v>
      </c>
      <c r="B5" s="42" t="str">
        <f>IF(INDEX(CourseList[Course Number &amp; Name],CourseSummary3[[#This Row],[Index]],1)=0,"",INDEX(CourseList[Course Number &amp; Name],CourseSummary3[[#This Row],[Index]],1))</f>
        <v>150 X for Non-Majors</v>
      </c>
      <c r="C5" s="6" t="str">
        <f>IF(INDEX(CourseList[Course Number &amp; Name],CourseSummary3[[#This Row],[Index]],1)=0,"",INDEX(CourseList[Instruction Mode],CourseSummary3[[#This Row],[Index]],1))</f>
        <v>Online only</v>
      </c>
      <c r="D5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20926.949999999997</v>
      </c>
      <c r="E5" s="43">
        <f>IF(INDEX(CourseList[Course Number &amp; Name],CourseSummary3[[#This Row],[Index]],1)=0,0,INDEX(CourseList[Est Enrollment],CourseSummary3[[#This Row],[Index]],1))</f>
        <v>40</v>
      </c>
      <c r="F5" s="44" t="str">
        <f>IF(INDEX(CourseList[Course Number &amp; Name],CourseSummary3[[#This Row],[Index]],1)=0,0,INDEX(CourseList[Credit Range],CourseSummary3[[#This Row],[Index]],1))</f>
        <v>3</v>
      </c>
      <c r="G5" s="9">
        <f>IF(INDEX(CourseList[Course Number &amp; Name],CourseSummary3[[#This Row],[Index]],1)=0,0,INDEX(CourseList[Est Paid Credits],CourseSummary3[[#This Row],[Index]],1))</f>
        <v>90</v>
      </c>
      <c r="H5" s="111">
        <f>300*CourseSummary3[[#This Row],[Estimated Paid Credits]]</f>
        <v>27000</v>
      </c>
      <c r="I5" s="104">
        <f>IF(CourseSummary3[[#This Row],[Course Number and Name]]="","",CEILING((CourseSummary3[[#This Row],[Estimated Costs to Summer Sessions]])/300,1))</f>
        <v>70</v>
      </c>
      <c r="J5" s="111">
        <f>IF(CourseSummary3[[#This Row],[Course Number and Name]]="",0,300*CourseSummary3[[#This Row],[Estimated Paid Credits]]-CourseSummary3[[#This Row],[Estimated Costs to Summer Sessions]])</f>
        <v>6073.0500000000029</v>
      </c>
    </row>
    <row r="6" spans="1:10" ht="26.25" x14ac:dyDescent="0.25">
      <c r="A6" s="8">
        <f t="shared" ref="A6:A28" si="0">A5+1</f>
        <v>3</v>
      </c>
      <c r="B6" s="42" t="str">
        <f>IF(INDEX(CourseList[Course Number &amp; Name],CourseSummary3[[#This Row],[Index]],1)=0,"",INDEX(CourseList[Course Number &amp; Name],CourseSummary3[[#This Row],[Index]],1))</f>
        <v>150 X for Non-Majors, online course development</v>
      </c>
      <c r="C6" s="43" t="str">
        <f>IF(INDEX(CourseList[Course Number &amp; Name],CourseSummary3[[#This Row],[Index]],1)=0,"",INDEX(CourseList[Instruction Mode],CourseSummary3[[#This Row],[Index]],1))</f>
        <v>n/a</v>
      </c>
      <c r="D6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6" s="43">
        <f>IF(INDEX(CourseList[Course Number &amp; Name],CourseSummary3[[#This Row],[Index]],1)=0,0,INDEX(CourseList[Est Enrollment],CourseSummary3[[#This Row],[Index]],1))</f>
        <v>0</v>
      </c>
      <c r="F6" s="44" t="str">
        <f>IF(INDEX(CourseList[Course Number &amp; Name],CourseSummary3[[#This Row],[Index]],1)=0,0,INDEX(CourseList[Credit Range],CourseSummary3[[#This Row],[Index]],1))</f>
        <v>3</v>
      </c>
      <c r="G6" s="6">
        <f>IF(INDEX(CourseList[Course Number &amp; Name],CourseSummary3[[#This Row],[Index]],1)=0,0,INDEX(CourseList[Est Paid Credits],CourseSummary3[[#This Row],[Index]],1))</f>
        <v>0</v>
      </c>
      <c r="H6" s="111">
        <f>300*CourseSummary3[[#This Row],[Estimated Paid Credits]]</f>
        <v>0</v>
      </c>
      <c r="I6" s="104">
        <f>IF(CourseSummary3[[#This Row],[Course Number and Name]]="","",CEILING((CourseSummary3[[#This Row],[Estimated Costs to Summer Sessions]])/300,1))</f>
        <v>0</v>
      </c>
      <c r="J6" s="111">
        <f>IF(CourseSummary3[[#This Row],[Course Number and Name]]="",0,300*CourseSummary3[[#This Row],[Estimated Paid Credits]]-CourseSummary3[[#This Row],[Estimated Costs to Summer Sessions]])</f>
        <v>0</v>
      </c>
    </row>
    <row r="7" spans="1:10" x14ac:dyDescent="0.25">
      <c r="A7" s="8">
        <f t="shared" si="0"/>
        <v>4</v>
      </c>
      <c r="B7" s="42" t="str">
        <f>IF(INDEX(CourseList[Course Number &amp; Name],CourseSummary3[[#This Row],[Index]],1)=0,"",INDEX(CourseList[Course Number &amp; Name],CourseSummary3[[#This Row],[Index]],1))</f>
        <v>301 Intermediate X</v>
      </c>
      <c r="C7" s="43" t="str">
        <f>IF(INDEX(CourseList[Course Number &amp; Name],CourseSummary3[[#This Row],[Index]],1)=0,"",INDEX(CourseList[Instruction Mode],CourseSummary3[[#This Row],[Index]],1))</f>
        <v>Online only</v>
      </c>
      <c r="D7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15638.966666666667</v>
      </c>
      <c r="E7" s="43">
        <f>IF(INDEX(CourseList[Course Number &amp; Name],CourseSummary3[[#This Row],[Index]],1)=0,0,INDEX(CourseList[Est Enrollment],CourseSummary3[[#This Row],[Index]],1))</f>
        <v>50</v>
      </c>
      <c r="F7" s="44" t="str">
        <f>IF(INDEX(CourseList[Course Number &amp; Name],CourseSummary3[[#This Row],[Index]],1)=0,0,INDEX(CourseList[Credit Range],CourseSummary3[[#This Row],[Index]],1))</f>
        <v>3</v>
      </c>
      <c r="G7" s="6">
        <f>IF(INDEX(CourseList[Course Number &amp; Name],CourseSummary3[[#This Row],[Index]],1)=0,0,INDEX(CourseList[Est Paid Credits],CourseSummary3[[#This Row],[Index]],1))</f>
        <v>180</v>
      </c>
      <c r="H7" s="111">
        <f>300*CourseSummary3[[#This Row],[Estimated Paid Credits]]</f>
        <v>54000</v>
      </c>
      <c r="I7" s="104">
        <f>IF(CourseSummary3[[#This Row],[Course Number and Name]]="","",CEILING((CourseSummary3[[#This Row],[Estimated Costs to Summer Sessions]])/300,1))</f>
        <v>53</v>
      </c>
      <c r="J7" s="111">
        <f>IF(CourseSummary3[[#This Row],[Course Number and Name]]="",0,300*CourseSummary3[[#This Row],[Estimated Paid Credits]]-CourseSummary3[[#This Row],[Estimated Costs to Summer Sessions]])</f>
        <v>38361.033333333333</v>
      </c>
    </row>
    <row r="8" spans="1:10" x14ac:dyDescent="0.25">
      <c r="A8" s="8">
        <f t="shared" si="0"/>
        <v>5</v>
      </c>
      <c r="B8" s="42" t="str">
        <f>IF(INDEX(CourseList[Course Number &amp; Name],CourseSummary3[[#This Row],[Index]],1)=0,"",INDEX(CourseList[Course Number &amp; Name],CourseSummary3[[#This Row],[Index]],1))</f>
        <v>340 Applications of X</v>
      </c>
      <c r="C8" s="43" t="str">
        <f>IF(INDEX(CourseList[Course Number &amp; Name],CourseSummary3[[#This Row],[Index]],1)=0,"",INDEX(CourseList[Instruction Mode],CourseSummary3[[#This Row],[Index]],1))</f>
        <v>Classroom</v>
      </c>
      <c r="D8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7346.55</v>
      </c>
      <c r="E8" s="43">
        <f>IF(INDEX(CourseList[Course Number &amp; Name],CourseSummary3[[#This Row],[Index]],1)=0,0,INDEX(CourseList[Est Enrollment],CourseSummary3[[#This Row],[Index]],1))</f>
        <v>20</v>
      </c>
      <c r="F8" s="44" t="str">
        <f>IF(INDEX(CourseList[Course Number &amp; Name],CourseSummary3[[#This Row],[Index]],1)=0,0,INDEX(CourseList[Credit Range],CourseSummary3[[#This Row],[Index]],1))</f>
        <v>3</v>
      </c>
      <c r="G8" s="6">
        <f>IF(INDEX(CourseList[Course Number &amp; Name],CourseSummary3[[#This Row],[Index]],1)=0,0,INDEX(CourseList[Est Paid Credits],CourseSummary3[[#This Row],[Index]],1))</f>
        <v>45</v>
      </c>
      <c r="H8" s="111">
        <f>300*CourseSummary3[[#This Row],[Estimated Paid Credits]]</f>
        <v>13500</v>
      </c>
      <c r="I8" s="104">
        <f>IF(CourseSummary3[[#This Row],[Course Number and Name]]="","",CEILING((CourseSummary3[[#This Row],[Estimated Costs to Summer Sessions]])/300,1))</f>
        <v>25</v>
      </c>
      <c r="J8" s="111">
        <f>IF(CourseSummary3[[#This Row],[Course Number and Name]]="",0,300*CourseSummary3[[#This Row],[Estimated Paid Credits]]-CourseSummary3[[#This Row],[Estimated Costs to Summer Sessions]])</f>
        <v>6153.45</v>
      </c>
    </row>
    <row r="9" spans="1:10" x14ac:dyDescent="0.25">
      <c r="A9" s="8">
        <f t="shared" si="0"/>
        <v>6</v>
      </c>
      <c r="B9" s="42" t="str">
        <f>IF(INDEX(CourseList[Course Number &amp; Name],CourseSummary3[[#This Row],[Index]],1)=0,"",INDEX(CourseList[Course Number &amp; Name],CourseSummary3[[#This Row],[Index]],1))</f>
        <v>350 Intermediate Y</v>
      </c>
      <c r="C9" s="43" t="str">
        <f>IF(INDEX(CourseList[Course Number &amp; Name],CourseSummary3[[#This Row],[Index]],1)=0,"",INDEX(CourseList[Instruction Mode],CourseSummary3[[#This Row],[Index]],1))</f>
        <v>Classroom</v>
      </c>
      <c r="D9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16616.266666666666</v>
      </c>
      <c r="E9" s="43">
        <f>IF(INDEX(CourseList[Course Number &amp; Name],CourseSummary3[[#This Row],[Index]],1)=0,0,INDEX(CourseList[Est Enrollment],CourseSummary3[[#This Row],[Index]],1))</f>
        <v>10</v>
      </c>
      <c r="F9" s="44" t="str">
        <f>IF(INDEX(CourseList[Course Number &amp; Name],CourseSummary3[[#This Row],[Index]],1)=0,0,INDEX(CourseList[Credit Range],CourseSummary3[[#This Row],[Index]],1))</f>
        <v>3</v>
      </c>
      <c r="G9" s="6">
        <f>IF(INDEX(CourseList[Course Number &amp; Name],CourseSummary3[[#This Row],[Index]],1)=0,0,INDEX(CourseList[Est Paid Credits],CourseSummary3[[#This Row],[Index]],1))</f>
        <v>12</v>
      </c>
      <c r="H9" s="111">
        <f>300*CourseSummary3[[#This Row],[Estimated Paid Credits]]</f>
        <v>3600</v>
      </c>
      <c r="I9" s="104">
        <f>IF(CourseSummary3[[#This Row],[Course Number and Name]]="","",CEILING((CourseSummary3[[#This Row],[Estimated Costs to Summer Sessions]])/300,1))</f>
        <v>56</v>
      </c>
      <c r="J9" s="111">
        <f>IF(CourseSummary3[[#This Row],[Course Number and Name]]="",0,300*CourseSummary3[[#This Row],[Estimated Paid Credits]]-CourseSummary3[[#This Row],[Estimated Costs to Summer Sessions]])</f>
        <v>-13016.266666666666</v>
      </c>
    </row>
    <row r="10" spans="1:10" x14ac:dyDescent="0.25">
      <c r="A10" s="8">
        <f>A9+1</f>
        <v>7</v>
      </c>
      <c r="B10" s="42" t="str">
        <f>IF(INDEX(CourseList[Course Number &amp; Name],CourseSummary3[[#This Row],[Index]],1)=0,"",INDEX(CourseList[Course Number &amp; Name],CourseSummary3[[#This Row],[Index]],1))</f>
        <v>Summer Term Chair</v>
      </c>
      <c r="C10" s="43" t="str">
        <f>IF(INDEX(CourseList[Course Number &amp; Name],CourseSummary3[[#This Row],[Index]],1)=0,"",INDEX(CourseList[Instruction Mode],CourseSummary3[[#This Row],[Index]],1))</f>
        <v>n/a</v>
      </c>
      <c r="D10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15999.999999999998</v>
      </c>
      <c r="E10" s="43">
        <f>IF(INDEX(CourseList[Course Number &amp; Name],CourseSummary3[[#This Row],[Index]],1)=0,0,INDEX(CourseList[Est Enrollment],CourseSummary3[[#This Row],[Index]],1))</f>
        <v>0</v>
      </c>
      <c r="F10" s="44">
        <f>IF(INDEX(CourseList[Course Number &amp; Name],CourseSummary3[[#This Row],[Index]],1)=0,0,INDEX(CourseList[Credit Range],CourseSummary3[[#This Row],[Index]],1))</f>
        <v>0</v>
      </c>
      <c r="G10" s="6">
        <f>IF(INDEX(CourseList[Course Number &amp; Name],CourseSummary3[[#This Row],[Index]],1)=0,0,INDEX(CourseList[Est Paid Credits],CourseSummary3[[#This Row],[Index]],1))</f>
        <v>0</v>
      </c>
      <c r="H10" s="111">
        <f>300*CourseSummary3[[#This Row],[Estimated Paid Credits]]</f>
        <v>0</v>
      </c>
      <c r="I10" s="104">
        <f>IF(CourseSummary3[[#This Row],[Course Number and Name]]="","",CEILING((CourseSummary3[[#This Row],[Estimated Costs to Summer Sessions]])/300,1))</f>
        <v>54</v>
      </c>
      <c r="J10" s="111">
        <f>IF(CourseSummary3[[#This Row],[Course Number and Name]]="",0,300*CourseSummary3[[#This Row],[Estimated Paid Credits]]-CourseSummary3[[#This Row],[Estimated Costs to Summer Sessions]])</f>
        <v>-15999.999999999998</v>
      </c>
    </row>
    <row r="11" spans="1:10" x14ac:dyDescent="0.25">
      <c r="A11" s="8">
        <f t="shared" si="0"/>
        <v>8</v>
      </c>
      <c r="B11" s="42" t="str">
        <f>IF(INDEX(CourseList[Course Number &amp; Name],CourseSummary3[[#This Row],[Index]],1)=0,"",INDEX(CourseList[Course Number &amp; Name],CourseSummary3[[#This Row],[Index]],1))</f>
        <v/>
      </c>
      <c r="C11" s="43" t="str">
        <f>IF(INDEX(CourseList[Course Number &amp; Name],CourseSummary3[[#This Row],[Index]],1)=0,"",INDEX(CourseList[Instruction Mode],CourseSummary3[[#This Row],[Index]],1))</f>
        <v/>
      </c>
      <c r="D11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11" s="43">
        <f>IF(INDEX(CourseList[Course Number &amp; Name],CourseSummary3[[#This Row],[Index]],1)=0,0,INDEX(CourseList[Est Enrollment],CourseSummary3[[#This Row],[Index]],1))</f>
        <v>0</v>
      </c>
      <c r="F11" s="44">
        <f>IF(INDEX(CourseList[Course Number &amp; Name],CourseSummary3[[#This Row],[Index]],1)=0,0,INDEX(CourseList[Credit Range],CourseSummary3[[#This Row],[Index]],1))</f>
        <v>0</v>
      </c>
      <c r="G11" s="6">
        <f>IF(INDEX(CourseList[Course Number &amp; Name],CourseSummary3[[#This Row],[Index]],1)=0,0,INDEX(CourseList[Est Paid Credits],CourseSummary3[[#This Row],[Index]],1))</f>
        <v>0</v>
      </c>
      <c r="H11" s="111">
        <f>300*CourseSummary3[[#This Row],[Estimated Paid Credits]]</f>
        <v>0</v>
      </c>
      <c r="I11" s="104" t="str">
        <f>IF(CourseSummary3[[#This Row],[Course Number and Name]]="","",CEILING((CourseSummary3[[#This Row],[Estimated Costs to Summer Sessions]])/300,1))</f>
        <v/>
      </c>
      <c r="J11" s="111">
        <f>IF(CourseSummary3[[#This Row],[Course Number and Name]]="",0,300*CourseSummary3[[#This Row],[Estimated Paid Credits]]-CourseSummary3[[#This Row],[Estimated Costs to Summer Sessions]])</f>
        <v>0</v>
      </c>
    </row>
    <row r="12" spans="1:10" x14ac:dyDescent="0.25">
      <c r="A12" s="8">
        <f t="shared" si="0"/>
        <v>9</v>
      </c>
      <c r="B12" s="42" t="str">
        <f>IF(INDEX(CourseList[Course Number &amp; Name],CourseSummary3[[#This Row],[Index]],1)=0,"",INDEX(CourseList[Course Number &amp; Name],CourseSummary3[[#This Row],[Index]],1))</f>
        <v/>
      </c>
      <c r="C12" s="43" t="str">
        <f>IF(INDEX(CourseList[Course Number &amp; Name],CourseSummary3[[#This Row],[Index]],1)=0,"",INDEX(CourseList[Instruction Mode],CourseSummary3[[#This Row],[Index]],1))</f>
        <v/>
      </c>
      <c r="D12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12" s="43">
        <f>IF(INDEX(CourseList[Course Number &amp; Name],CourseSummary3[[#This Row],[Index]],1)=0,0,INDEX(CourseList[Est Enrollment],CourseSummary3[[#This Row],[Index]],1))</f>
        <v>0</v>
      </c>
      <c r="F12" s="44">
        <f>IF(INDEX(CourseList[Course Number &amp; Name],CourseSummary3[[#This Row],[Index]],1)=0,0,INDEX(CourseList[Credit Range],CourseSummary3[[#This Row],[Index]],1))</f>
        <v>0</v>
      </c>
      <c r="G12" s="6">
        <f>IF(INDEX(CourseList[Course Number &amp; Name],CourseSummary3[[#This Row],[Index]],1)=0,0,INDEX(CourseList[Est Paid Credits],CourseSummary3[[#This Row],[Index]],1))</f>
        <v>0</v>
      </c>
      <c r="H12" s="111">
        <f>300*CourseSummary3[[#This Row],[Estimated Paid Credits]]</f>
        <v>0</v>
      </c>
      <c r="I12" s="104" t="str">
        <f>IF(CourseSummary3[[#This Row],[Course Number and Name]]="","",CEILING((CourseSummary3[[#This Row],[Estimated Costs to Summer Sessions]])/300,1))</f>
        <v/>
      </c>
      <c r="J12" s="111">
        <f>IF(CourseSummary3[[#This Row],[Course Number and Name]]="",0,300*CourseSummary3[[#This Row],[Estimated Paid Credits]]-CourseSummary3[[#This Row],[Estimated Costs to Summer Sessions]])</f>
        <v>0</v>
      </c>
    </row>
    <row r="13" spans="1:10" x14ac:dyDescent="0.25">
      <c r="A13" s="8">
        <f t="shared" si="0"/>
        <v>10</v>
      </c>
      <c r="B13" s="42" t="str">
        <f>IF(INDEX(CourseList[Course Number &amp; Name],CourseSummary3[[#This Row],[Index]],1)=0,"",INDEX(CourseList[Course Number &amp; Name],CourseSummary3[[#This Row],[Index]],1))</f>
        <v/>
      </c>
      <c r="C13" s="43" t="str">
        <f>IF(INDEX(CourseList[Course Number &amp; Name],CourseSummary3[[#This Row],[Index]],1)=0,"",INDEX(CourseList[Instruction Mode],CourseSummary3[[#This Row],[Index]],1))</f>
        <v/>
      </c>
      <c r="D13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13" s="43">
        <f>IF(INDEX(CourseList[Course Number &amp; Name],CourseSummary3[[#This Row],[Index]],1)=0,0,INDEX(CourseList[Est Enrollment],CourseSummary3[[#This Row],[Index]],1))</f>
        <v>0</v>
      </c>
      <c r="F13" s="44">
        <f>IF(INDEX(CourseList[Course Number &amp; Name],CourseSummary3[[#This Row],[Index]],1)=0,0,INDEX(CourseList[Credit Range],CourseSummary3[[#This Row],[Index]],1))</f>
        <v>0</v>
      </c>
      <c r="G13" s="6">
        <f>IF(INDEX(CourseList[Course Number &amp; Name],CourseSummary3[[#This Row],[Index]],1)=0,0,INDEX(CourseList[Est Paid Credits],CourseSummary3[[#This Row],[Index]],1))</f>
        <v>0</v>
      </c>
      <c r="H13" s="111">
        <f>300*CourseSummary3[[#This Row],[Estimated Paid Credits]]</f>
        <v>0</v>
      </c>
      <c r="I13" s="104" t="str">
        <f>IF(CourseSummary3[[#This Row],[Course Number and Name]]="","",CEILING((CourseSummary3[[#This Row],[Estimated Costs to Summer Sessions]])/300,1))</f>
        <v/>
      </c>
      <c r="J13" s="111">
        <f>IF(CourseSummary3[[#This Row],[Course Number and Name]]="",0,300*CourseSummary3[[#This Row],[Estimated Paid Credits]]-CourseSummary3[[#This Row],[Estimated Costs to Summer Sessions]])</f>
        <v>0</v>
      </c>
    </row>
    <row r="14" spans="1:10" x14ac:dyDescent="0.25">
      <c r="A14" s="8">
        <f t="shared" si="0"/>
        <v>11</v>
      </c>
      <c r="B14" s="42" t="str">
        <f>IF(INDEX(CourseList[Course Number &amp; Name],CourseSummary3[[#This Row],[Index]],1)=0,"",INDEX(CourseList[Course Number &amp; Name],CourseSummary3[[#This Row],[Index]],1))</f>
        <v/>
      </c>
      <c r="C14" s="43" t="str">
        <f>IF(INDEX(CourseList[Course Number &amp; Name],CourseSummary3[[#This Row],[Index]],1)=0,"",INDEX(CourseList[Instruction Mode],CourseSummary3[[#This Row],[Index]],1))</f>
        <v/>
      </c>
      <c r="D14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14" s="43">
        <f>IF(INDEX(CourseList[Course Number &amp; Name],CourseSummary3[[#This Row],[Index]],1)=0,0,INDEX(CourseList[Est Enrollment],CourseSummary3[[#This Row],[Index]],1))</f>
        <v>0</v>
      </c>
      <c r="F14" s="44">
        <f>IF(INDEX(CourseList[Course Number &amp; Name],CourseSummary3[[#This Row],[Index]],1)=0,0,INDEX(CourseList[Credit Range],CourseSummary3[[#This Row],[Index]],1))</f>
        <v>0</v>
      </c>
      <c r="G14" s="6">
        <f>IF(INDEX(CourseList[Course Number &amp; Name],CourseSummary3[[#This Row],[Index]],1)=0,0,INDEX(CourseList[Est Paid Credits],CourseSummary3[[#This Row],[Index]],1))</f>
        <v>0</v>
      </c>
      <c r="H14" s="111">
        <f>300*CourseSummary3[[#This Row],[Estimated Paid Credits]]</f>
        <v>0</v>
      </c>
      <c r="I14" s="104" t="str">
        <f>IF(CourseSummary3[[#This Row],[Course Number and Name]]="","",CEILING((CourseSummary3[[#This Row],[Estimated Costs to Summer Sessions]])/300,1))</f>
        <v/>
      </c>
      <c r="J14" s="111">
        <f>IF(CourseSummary3[[#This Row],[Course Number and Name]]="",0,300*CourseSummary3[[#This Row],[Estimated Paid Credits]]-CourseSummary3[[#This Row],[Estimated Costs to Summer Sessions]])</f>
        <v>0</v>
      </c>
    </row>
    <row r="15" spans="1:10" x14ac:dyDescent="0.25">
      <c r="A15" s="8">
        <f t="shared" si="0"/>
        <v>12</v>
      </c>
      <c r="B15" s="42" t="str">
        <f>IF(INDEX(CourseList[Course Number &amp; Name],CourseSummary3[[#This Row],[Index]],1)=0,"",INDEX(CourseList[Course Number &amp; Name],CourseSummary3[[#This Row],[Index]],1))</f>
        <v/>
      </c>
      <c r="C15" s="43" t="str">
        <f>IF(INDEX(CourseList[Course Number &amp; Name],CourseSummary3[[#This Row],[Index]],1)=0,"",INDEX(CourseList[Instruction Mode],CourseSummary3[[#This Row],[Index]],1))</f>
        <v/>
      </c>
      <c r="D15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15" s="43">
        <f>IF(INDEX(CourseList[Course Number &amp; Name],CourseSummary3[[#This Row],[Index]],1)=0,0,INDEX(CourseList[Est Enrollment],CourseSummary3[[#This Row],[Index]],1))</f>
        <v>0</v>
      </c>
      <c r="F15" s="44">
        <f>IF(INDEX(CourseList[Course Number &amp; Name],CourseSummary3[[#This Row],[Index]],1)=0,0,INDEX(CourseList[Credit Range],CourseSummary3[[#This Row],[Index]],1))</f>
        <v>0</v>
      </c>
      <c r="G15" s="6">
        <f>IF(INDEX(CourseList[Course Number &amp; Name],CourseSummary3[[#This Row],[Index]],1)=0,0,INDEX(CourseList[Est Paid Credits],CourseSummary3[[#This Row],[Index]],1))</f>
        <v>0</v>
      </c>
      <c r="H15" s="111">
        <f>300*CourseSummary3[[#This Row],[Estimated Paid Credits]]</f>
        <v>0</v>
      </c>
      <c r="I15" s="104" t="str">
        <f>IF(CourseSummary3[[#This Row],[Course Number and Name]]="","",CEILING((CourseSummary3[[#This Row],[Estimated Costs to Summer Sessions]])/300,1))</f>
        <v/>
      </c>
      <c r="J15" s="111">
        <f>IF(CourseSummary3[[#This Row],[Course Number and Name]]="",0,300*CourseSummary3[[#This Row],[Estimated Paid Credits]]-CourseSummary3[[#This Row],[Estimated Costs to Summer Sessions]])</f>
        <v>0</v>
      </c>
    </row>
    <row r="16" spans="1:10" x14ac:dyDescent="0.25">
      <c r="A16" s="8">
        <f t="shared" si="0"/>
        <v>13</v>
      </c>
      <c r="B16" s="42" t="str">
        <f>IF(INDEX(CourseList[Course Number &amp; Name],CourseSummary3[[#This Row],[Index]],1)=0,"",INDEX(CourseList[Course Number &amp; Name],CourseSummary3[[#This Row],[Index]],1))</f>
        <v/>
      </c>
      <c r="C16" s="43" t="str">
        <f>IF(INDEX(CourseList[Course Number &amp; Name],CourseSummary3[[#This Row],[Index]],1)=0,"",INDEX(CourseList[Instruction Mode],CourseSummary3[[#This Row],[Index]],1))</f>
        <v/>
      </c>
      <c r="D16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16" s="43">
        <f>IF(INDEX(CourseList[Course Number &amp; Name],CourseSummary3[[#This Row],[Index]],1)=0,0,INDEX(CourseList[Est Enrollment],CourseSummary3[[#This Row],[Index]],1))</f>
        <v>0</v>
      </c>
      <c r="F16" s="44">
        <f>IF(INDEX(CourseList[Course Number &amp; Name],CourseSummary3[[#This Row],[Index]],1)=0,0,INDEX(CourseList[Credit Range],CourseSummary3[[#This Row],[Index]],1))</f>
        <v>0</v>
      </c>
      <c r="G16" s="6">
        <f>IF(INDEX(CourseList[Course Number &amp; Name],CourseSummary3[[#This Row],[Index]],1)=0,0,INDEX(CourseList[Est Paid Credits],CourseSummary3[[#This Row],[Index]],1))</f>
        <v>0</v>
      </c>
      <c r="H16" s="111">
        <f>300*CourseSummary3[[#This Row],[Estimated Paid Credits]]</f>
        <v>0</v>
      </c>
      <c r="I16" s="104" t="str">
        <f>IF(CourseSummary3[[#This Row],[Course Number and Name]]="","",CEILING((CourseSummary3[[#This Row],[Estimated Costs to Summer Sessions]])/300,1))</f>
        <v/>
      </c>
      <c r="J16" s="111">
        <f>IF(CourseSummary3[[#This Row],[Course Number and Name]]="",0,300*CourseSummary3[[#This Row],[Estimated Paid Credits]]-CourseSummary3[[#This Row],[Estimated Costs to Summer Sessions]])</f>
        <v>0</v>
      </c>
    </row>
    <row r="17" spans="1:10" x14ac:dyDescent="0.25">
      <c r="A17" s="8">
        <f t="shared" si="0"/>
        <v>14</v>
      </c>
      <c r="B17" s="42" t="str">
        <f>IF(INDEX(CourseList[Course Number &amp; Name],CourseSummary3[[#This Row],[Index]],1)=0,"",INDEX(CourseList[Course Number &amp; Name],CourseSummary3[[#This Row],[Index]],1))</f>
        <v/>
      </c>
      <c r="C17" s="43" t="str">
        <f>IF(INDEX(CourseList[Course Number &amp; Name],CourseSummary3[[#This Row],[Index]],1)=0,"",INDEX(CourseList[Instruction Mode],CourseSummary3[[#This Row],[Index]],1))</f>
        <v/>
      </c>
      <c r="D17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17" s="43">
        <f>IF(INDEX(CourseList[Course Number &amp; Name],CourseSummary3[[#This Row],[Index]],1)=0,0,INDEX(CourseList[Est Enrollment],CourseSummary3[[#This Row],[Index]],1))</f>
        <v>0</v>
      </c>
      <c r="F17" s="44">
        <f>IF(INDEX(CourseList[Course Number &amp; Name],CourseSummary3[[#This Row],[Index]],1)=0,0,INDEX(CourseList[Credit Range],CourseSummary3[[#This Row],[Index]],1))</f>
        <v>0</v>
      </c>
      <c r="G17" s="6">
        <f>IF(INDEX(CourseList[Course Number &amp; Name],CourseSummary3[[#This Row],[Index]],1)=0,0,INDEX(CourseList[Est Paid Credits],CourseSummary3[[#This Row],[Index]],1))</f>
        <v>0</v>
      </c>
      <c r="H17" s="111">
        <f>300*CourseSummary3[[#This Row],[Estimated Paid Credits]]</f>
        <v>0</v>
      </c>
      <c r="I17" s="104" t="str">
        <f>IF(CourseSummary3[[#This Row],[Course Number and Name]]="","",CEILING((CourseSummary3[[#This Row],[Estimated Costs to Summer Sessions]])/300,1))</f>
        <v/>
      </c>
      <c r="J17" s="111">
        <f>IF(CourseSummary3[[#This Row],[Course Number and Name]]="",0,300*CourseSummary3[[#This Row],[Estimated Paid Credits]]-CourseSummary3[[#This Row],[Estimated Costs to Summer Sessions]])</f>
        <v>0</v>
      </c>
    </row>
    <row r="18" spans="1:10" x14ac:dyDescent="0.25">
      <c r="A18" s="8">
        <f t="shared" si="0"/>
        <v>15</v>
      </c>
      <c r="B18" s="42" t="str">
        <f>IF(INDEX(CourseList[Course Number &amp; Name],CourseSummary3[[#This Row],[Index]],1)=0,"",INDEX(CourseList[Course Number &amp; Name],CourseSummary3[[#This Row],[Index]],1))</f>
        <v/>
      </c>
      <c r="C18" s="43" t="str">
        <f>IF(INDEX(CourseList[Course Number &amp; Name],CourseSummary3[[#This Row],[Index]],1)=0,"",INDEX(CourseList[Instruction Mode],CourseSummary3[[#This Row],[Index]],1))</f>
        <v/>
      </c>
      <c r="D18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18" s="43">
        <f>IF(INDEX(CourseList[Course Number &amp; Name],CourseSummary3[[#This Row],[Index]],1)=0,0,INDEX(CourseList[Est Enrollment],CourseSummary3[[#This Row],[Index]],1))</f>
        <v>0</v>
      </c>
      <c r="F18" s="44">
        <f>IF(INDEX(CourseList[Course Number &amp; Name],CourseSummary3[[#This Row],[Index]],1)=0,0,INDEX(CourseList[Credit Range],CourseSummary3[[#This Row],[Index]],1))</f>
        <v>0</v>
      </c>
      <c r="G18" s="6">
        <f>IF(INDEX(CourseList[Course Number &amp; Name],CourseSummary3[[#This Row],[Index]],1)=0,0,INDEX(CourseList[Est Paid Credits],CourseSummary3[[#This Row],[Index]],1))</f>
        <v>0</v>
      </c>
      <c r="H18" s="111">
        <f>300*CourseSummary3[[#This Row],[Estimated Paid Credits]]</f>
        <v>0</v>
      </c>
      <c r="I18" s="104" t="str">
        <f>IF(CourseSummary3[[#This Row],[Course Number and Name]]="","",CEILING((CourseSummary3[[#This Row],[Estimated Costs to Summer Sessions]])/300,1))</f>
        <v/>
      </c>
      <c r="J18" s="111">
        <f>IF(CourseSummary3[[#This Row],[Course Number and Name]]="",0,300*CourseSummary3[[#This Row],[Estimated Paid Credits]]-CourseSummary3[[#This Row],[Estimated Costs to Summer Sessions]])</f>
        <v>0</v>
      </c>
    </row>
    <row r="19" spans="1:10" x14ac:dyDescent="0.25">
      <c r="A19" s="8">
        <f t="shared" si="0"/>
        <v>16</v>
      </c>
      <c r="B19" s="42" t="str">
        <f>IF(INDEX(CourseList[Course Number &amp; Name],CourseSummary3[[#This Row],[Index]],1)=0,"",INDEX(CourseList[Course Number &amp; Name],CourseSummary3[[#This Row],[Index]],1))</f>
        <v/>
      </c>
      <c r="C19" s="43" t="str">
        <f>IF(INDEX(CourseList[Course Number &amp; Name],CourseSummary3[[#This Row],[Index]],1)=0,"",INDEX(CourseList[Instruction Mode],CourseSummary3[[#This Row],[Index]],1))</f>
        <v/>
      </c>
      <c r="D19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19" s="43">
        <f>IF(INDEX(CourseList[Course Number &amp; Name],CourseSummary3[[#This Row],[Index]],1)=0,0,INDEX(CourseList[Est Enrollment],CourseSummary3[[#This Row],[Index]],1))</f>
        <v>0</v>
      </c>
      <c r="F19" s="44">
        <f>IF(INDEX(CourseList[Course Number &amp; Name],CourseSummary3[[#This Row],[Index]],1)=0,0,INDEX(CourseList[Credit Range],CourseSummary3[[#This Row],[Index]],1))</f>
        <v>0</v>
      </c>
      <c r="G19" s="6">
        <f>IF(INDEX(CourseList[Course Number &amp; Name],CourseSummary3[[#This Row],[Index]],1)=0,0,INDEX(CourseList[Est Paid Credits],CourseSummary3[[#This Row],[Index]],1))</f>
        <v>0</v>
      </c>
      <c r="H19" s="111">
        <f>300*CourseSummary3[[#This Row],[Estimated Paid Credits]]</f>
        <v>0</v>
      </c>
      <c r="I19" s="104" t="str">
        <f>IF(CourseSummary3[[#This Row],[Course Number and Name]]="","",CEILING((CourseSummary3[[#This Row],[Estimated Costs to Summer Sessions]])/300,1))</f>
        <v/>
      </c>
      <c r="J19" s="111">
        <f>IF(CourseSummary3[[#This Row],[Course Number and Name]]="",0,300*CourseSummary3[[#This Row],[Estimated Paid Credits]]-CourseSummary3[[#This Row],[Estimated Costs to Summer Sessions]])</f>
        <v>0</v>
      </c>
    </row>
    <row r="20" spans="1:10" x14ac:dyDescent="0.25">
      <c r="A20" s="8">
        <f t="shared" si="0"/>
        <v>17</v>
      </c>
      <c r="B20" s="42" t="str">
        <f>IF(INDEX(CourseList[Course Number &amp; Name],CourseSummary3[[#This Row],[Index]],1)=0,"",INDEX(CourseList[Course Number &amp; Name],CourseSummary3[[#This Row],[Index]],1))</f>
        <v/>
      </c>
      <c r="C20" s="43" t="str">
        <f>IF(INDEX(CourseList[Course Number &amp; Name],CourseSummary3[[#This Row],[Index]],1)=0,"",INDEX(CourseList[Instruction Mode],CourseSummary3[[#This Row],[Index]],1))</f>
        <v/>
      </c>
      <c r="D20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20" s="43">
        <f>IF(INDEX(CourseList[Course Number &amp; Name],CourseSummary3[[#This Row],[Index]],1)=0,0,INDEX(CourseList[Est Enrollment],CourseSummary3[[#This Row],[Index]],1))</f>
        <v>0</v>
      </c>
      <c r="F20" s="44">
        <f>IF(INDEX(CourseList[Course Number &amp; Name],CourseSummary3[[#This Row],[Index]],1)=0,0,INDEX(CourseList[Credit Range],CourseSummary3[[#This Row],[Index]],1))</f>
        <v>0</v>
      </c>
      <c r="G20" s="6">
        <f>IF(INDEX(CourseList[Course Number &amp; Name],CourseSummary3[[#This Row],[Index]],1)=0,0,INDEX(CourseList[Est Paid Credits],CourseSummary3[[#This Row],[Index]],1))</f>
        <v>0</v>
      </c>
      <c r="H20" s="111">
        <f>300*CourseSummary3[[#This Row],[Estimated Paid Credits]]</f>
        <v>0</v>
      </c>
      <c r="I20" s="104" t="str">
        <f>IF(CourseSummary3[[#This Row],[Course Number and Name]]="","",CEILING((CourseSummary3[[#This Row],[Estimated Costs to Summer Sessions]])/300,1))</f>
        <v/>
      </c>
      <c r="J20" s="111">
        <f>IF(CourseSummary3[[#This Row],[Course Number and Name]]="",0,300*CourseSummary3[[#This Row],[Estimated Paid Credits]]-CourseSummary3[[#This Row],[Estimated Costs to Summer Sessions]])</f>
        <v>0</v>
      </c>
    </row>
    <row r="21" spans="1:10" x14ac:dyDescent="0.25">
      <c r="A21" s="8">
        <f t="shared" si="0"/>
        <v>18</v>
      </c>
      <c r="B21" s="42" t="str">
        <f>IF(INDEX(CourseList[Course Number &amp; Name],CourseSummary3[[#This Row],[Index]],1)=0,"",INDEX(CourseList[Course Number &amp; Name],CourseSummary3[[#This Row],[Index]],1))</f>
        <v/>
      </c>
      <c r="C21" s="43" t="str">
        <f>IF(INDEX(CourseList[Course Number &amp; Name],CourseSummary3[[#This Row],[Index]],1)=0,"",INDEX(CourseList[Instruction Mode],CourseSummary3[[#This Row],[Index]],1))</f>
        <v/>
      </c>
      <c r="D21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21" s="43">
        <f>IF(INDEX(CourseList[Course Number &amp; Name],CourseSummary3[[#This Row],[Index]],1)=0,0,INDEX(CourseList[Est Enrollment],CourseSummary3[[#This Row],[Index]],1))</f>
        <v>0</v>
      </c>
      <c r="F21" s="44">
        <f>IF(INDEX(CourseList[Course Number &amp; Name],CourseSummary3[[#This Row],[Index]],1)=0,0,INDEX(CourseList[Credit Range],CourseSummary3[[#This Row],[Index]],1))</f>
        <v>0</v>
      </c>
      <c r="G21" s="6">
        <f>IF(INDEX(CourseList[Course Number &amp; Name],CourseSummary3[[#This Row],[Index]],1)=0,0,INDEX(CourseList[Est Paid Credits],CourseSummary3[[#This Row],[Index]],1))</f>
        <v>0</v>
      </c>
      <c r="H21" s="111">
        <f>300*CourseSummary3[[#This Row],[Estimated Paid Credits]]</f>
        <v>0</v>
      </c>
      <c r="I21" s="104" t="str">
        <f>IF(CourseSummary3[[#This Row],[Course Number and Name]]="","",CEILING((CourseSummary3[[#This Row],[Estimated Costs to Summer Sessions]])/300,1))</f>
        <v/>
      </c>
      <c r="J21" s="111">
        <f>IF(CourseSummary3[[#This Row],[Course Number and Name]]="",0,300*CourseSummary3[[#This Row],[Estimated Paid Credits]]-CourseSummary3[[#This Row],[Estimated Costs to Summer Sessions]])</f>
        <v>0</v>
      </c>
    </row>
    <row r="22" spans="1:10" x14ac:dyDescent="0.25">
      <c r="A22" s="8">
        <f t="shared" si="0"/>
        <v>19</v>
      </c>
      <c r="B22" s="42" t="str">
        <f>IF(INDEX(CourseList[Course Number &amp; Name],CourseSummary3[[#This Row],[Index]],1)=0,"",INDEX(CourseList[Course Number &amp; Name],CourseSummary3[[#This Row],[Index]],1))</f>
        <v/>
      </c>
      <c r="C22" s="43" t="str">
        <f>IF(INDEX(CourseList[Course Number &amp; Name],CourseSummary3[[#This Row],[Index]],1)=0,"",INDEX(CourseList[Instruction Mode],CourseSummary3[[#This Row],[Index]],1))</f>
        <v/>
      </c>
      <c r="D22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22" s="43">
        <f>IF(INDEX(CourseList[Course Number &amp; Name],CourseSummary3[[#This Row],[Index]],1)=0,0,INDEX(CourseList[Est Enrollment],CourseSummary3[[#This Row],[Index]],1))</f>
        <v>0</v>
      </c>
      <c r="F22" s="44">
        <f>IF(INDEX(CourseList[Course Number &amp; Name],CourseSummary3[[#This Row],[Index]],1)=0,0,INDEX(CourseList[Credit Range],CourseSummary3[[#This Row],[Index]],1))</f>
        <v>0</v>
      </c>
      <c r="G22" s="6">
        <f>IF(INDEX(CourseList[Course Number &amp; Name],CourseSummary3[[#This Row],[Index]],1)=0,0,INDEX(CourseList[Est Paid Credits],CourseSummary3[[#This Row],[Index]],1))</f>
        <v>0</v>
      </c>
      <c r="H22" s="111">
        <f>300*CourseSummary3[[#This Row],[Estimated Paid Credits]]</f>
        <v>0</v>
      </c>
      <c r="I22" s="104" t="str">
        <f>IF(CourseSummary3[[#This Row],[Course Number and Name]]="","",CEILING((CourseSummary3[[#This Row],[Estimated Costs to Summer Sessions]])/300,1))</f>
        <v/>
      </c>
      <c r="J22" s="111">
        <f>IF(CourseSummary3[[#This Row],[Course Number and Name]]="",0,300*CourseSummary3[[#This Row],[Estimated Paid Credits]]-CourseSummary3[[#This Row],[Estimated Costs to Summer Sessions]])</f>
        <v>0</v>
      </c>
    </row>
    <row r="23" spans="1:10" x14ac:dyDescent="0.25">
      <c r="A23" s="10">
        <f t="shared" si="0"/>
        <v>20</v>
      </c>
      <c r="B23" s="42" t="str">
        <f>IF(INDEX(CourseList[Course Number &amp; Name],CourseSummary3[[#This Row],[Index]],1)=0,"",INDEX(CourseList[Course Number &amp; Name],CourseSummary3[[#This Row],[Index]],1))</f>
        <v/>
      </c>
      <c r="C23" s="43" t="str">
        <f>IF(INDEX(CourseList[Course Number &amp; Name],CourseSummary3[[#This Row],[Index]],1)=0,"",INDEX(CourseList[Instruction Mode],CourseSummary3[[#This Row],[Index]],1))</f>
        <v/>
      </c>
      <c r="D23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23" s="43">
        <f>IF(INDEX(CourseList[Course Number &amp; Name],CourseSummary3[[#This Row],[Index]],1)=0,0,INDEX(CourseList[Est Enrollment],CourseSummary3[[#This Row],[Index]],1))</f>
        <v>0</v>
      </c>
      <c r="F23" s="44">
        <f>IF(INDEX(CourseList[Course Number &amp; Name],CourseSummary3[[#This Row],[Index]],1)=0,0,INDEX(CourseList[Credit Range],CourseSummary3[[#This Row],[Index]],1))</f>
        <v>0</v>
      </c>
      <c r="G23" s="6">
        <f>IF(INDEX(CourseList[Course Number &amp; Name],CourseSummary3[[#This Row],[Index]],1)=0,0,INDEX(CourseList[Est Paid Credits],CourseSummary3[[#This Row],[Index]],1))</f>
        <v>0</v>
      </c>
      <c r="H23" s="111">
        <f>300*CourseSummary3[[#This Row],[Estimated Paid Credits]]</f>
        <v>0</v>
      </c>
      <c r="I23" s="104" t="str">
        <f>IF(CourseSummary3[[#This Row],[Course Number and Name]]="","",CEILING((CourseSummary3[[#This Row],[Estimated Costs to Summer Sessions]])/300,1))</f>
        <v/>
      </c>
      <c r="J23" s="111">
        <f>IF(CourseSummary3[[#This Row],[Course Number and Name]]="",0,300*CourseSummary3[[#This Row],[Estimated Paid Credits]]-CourseSummary3[[#This Row],[Estimated Costs to Summer Sessions]])</f>
        <v>0</v>
      </c>
    </row>
    <row r="24" spans="1:10" s="1" customFormat="1" x14ac:dyDescent="0.25">
      <c r="A24" s="10">
        <f t="shared" si="0"/>
        <v>21</v>
      </c>
      <c r="B24" s="48" t="str">
        <f>IF(INDEX(CourseList[Course Number &amp; Name],CourseSummary3[[#This Row],[Index]],1)=0,"",INDEX(CourseList[Course Number &amp; Name],CourseSummary3[[#This Row],[Index]],1))</f>
        <v/>
      </c>
      <c r="C24" s="49" t="str">
        <f>IF(INDEX(CourseList[Course Number &amp; Name],CourseSummary3[[#This Row],[Index]],1)=0,"",INDEX(CourseList[Instruction Mode],CourseSummary3[[#This Row],[Index]],1))</f>
        <v/>
      </c>
      <c r="D24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24" s="4">
        <f>IF(INDEX(CourseList[Course Number &amp; Name],CourseSummary3[[#This Row],[Index]],1)=0,0,INDEX(CourseList[Est Enrollment],CourseSummary3[[#This Row],[Index]],1))</f>
        <v>0</v>
      </c>
      <c r="F24" s="44">
        <f>IF(INDEX(CourseList[Course Number &amp; Name],CourseSummary3[[#This Row],[Index]],1)=0,0,INDEX(CourseList[Credit Range],CourseSummary3[[#This Row],[Index]],1))</f>
        <v>0</v>
      </c>
      <c r="G24" s="6">
        <f>IF(INDEX(CourseList[Course Number &amp; Name],CourseSummary3[[#This Row],[Index]],1)=0,0,INDEX(CourseList[Est Paid Credits],CourseSummary3[[#This Row],[Index]],1))</f>
        <v>0</v>
      </c>
      <c r="H24" s="111">
        <f>300*CourseSummary3[[#This Row],[Estimated Paid Credits]]</f>
        <v>0</v>
      </c>
      <c r="I24" s="104" t="str">
        <f>IF(CourseSummary3[[#This Row],[Course Number and Name]]="","",CEILING((CourseSummary3[[#This Row],[Estimated Costs to Summer Sessions]])/300,1))</f>
        <v/>
      </c>
      <c r="J24" s="111">
        <f>IF(CourseSummary3[[#This Row],[Course Number and Name]]="",0,300*CourseSummary3[[#This Row],[Estimated Paid Credits]]-CourseSummary3[[#This Row],[Estimated Costs to Summer Sessions]])</f>
        <v>0</v>
      </c>
    </row>
    <row r="25" spans="1:10" x14ac:dyDescent="0.25">
      <c r="A25" s="10">
        <f t="shared" si="0"/>
        <v>22</v>
      </c>
      <c r="B25" s="48" t="str">
        <f>IF(INDEX(CourseList[Course Number &amp; Name],CourseSummary3[[#This Row],[Index]],1)=0,"",INDEX(CourseList[Course Number &amp; Name],CourseSummary3[[#This Row],[Index]],1))</f>
        <v/>
      </c>
      <c r="C25" s="4" t="str">
        <f>IF(INDEX(CourseList[Course Number &amp; Name],CourseSummary3[[#This Row],[Index]],1)=0,"",INDEX(CourseList[Instruction Mode],CourseSummary3[[#This Row],[Index]],1))</f>
        <v/>
      </c>
      <c r="D25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25" s="4">
        <f>IF(INDEX(CourseList[Course Number &amp; Name],CourseSummary3[[#This Row],[Index]],1)=0,0,INDEX(CourseList[Est Enrollment],CourseSummary3[[#This Row],[Index]],1))</f>
        <v>0</v>
      </c>
      <c r="F25" s="4">
        <f>IF(INDEX(CourseList[Course Number &amp; Name],CourseSummary3[[#This Row],[Index]],1)=0,0,INDEX(CourseList[Credit Range],CourseSummary3[[#This Row],[Index]],1))</f>
        <v>0</v>
      </c>
      <c r="G25" s="4">
        <f>IF(INDEX(CourseList[Course Number &amp; Name],CourseSummary3[[#This Row],[Index]],1)=0,0,INDEX(CourseList[Est Paid Credits],CourseSummary3[[#This Row],[Index]],1))</f>
        <v>0</v>
      </c>
      <c r="H25" s="118">
        <f>300*CourseSummary3[[#This Row],[Estimated Paid Credits]]</f>
        <v>0</v>
      </c>
      <c r="I25" s="104" t="str">
        <f>IF(CourseSummary3[[#This Row],[Course Number and Name]]="","",CEILING((CourseSummary3[[#This Row],[Estimated Costs to Summer Sessions]])/300,1))</f>
        <v/>
      </c>
      <c r="J25" s="111">
        <f>IF(CourseSummary3[[#This Row],[Course Number and Name]]="",0,300*CourseSummary3[[#This Row],[Estimated Paid Credits]]-CourseSummary3[[#This Row],[Estimated Costs to Summer Sessions]])</f>
        <v>0</v>
      </c>
    </row>
    <row r="26" spans="1:10" x14ac:dyDescent="0.25">
      <c r="A26" s="10">
        <f t="shared" si="0"/>
        <v>23</v>
      </c>
      <c r="B26" s="48" t="str">
        <f>IF(INDEX(CourseList[Course Number &amp; Name],CourseSummary3[[#This Row],[Index]],1)=0,"",INDEX(CourseList[Course Number &amp; Name],CourseSummary3[[#This Row],[Index]],1))</f>
        <v/>
      </c>
      <c r="C26" s="4" t="str">
        <f>IF(INDEX(CourseList[Course Number &amp; Name],CourseSummary3[[#This Row],[Index]],1)=0,"",INDEX(CourseList[Instruction Mode],CourseSummary3[[#This Row],[Index]],1))</f>
        <v/>
      </c>
      <c r="D26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26" s="4">
        <f>IF(INDEX(CourseList[Course Number &amp; Name],CourseSummary3[[#This Row],[Index]],1)=0,0,INDEX(CourseList[Est Enrollment],CourseSummary3[[#This Row],[Index]],1))</f>
        <v>0</v>
      </c>
      <c r="F26" s="4">
        <f>IF(INDEX(CourseList[Course Number &amp; Name],CourseSummary3[[#This Row],[Index]],1)=0,0,INDEX(CourseList[Credit Range],CourseSummary3[[#This Row],[Index]],1))</f>
        <v>0</v>
      </c>
      <c r="G26" s="4">
        <f>IF(INDEX(CourseList[Course Number &amp; Name],CourseSummary3[[#This Row],[Index]],1)=0,0,INDEX(CourseList[Est Paid Credits],CourseSummary3[[#This Row],[Index]],1))</f>
        <v>0</v>
      </c>
      <c r="H26" s="118">
        <f>300*CourseSummary3[[#This Row],[Estimated Paid Credits]]</f>
        <v>0</v>
      </c>
      <c r="I26" s="104" t="str">
        <f>IF(CourseSummary3[[#This Row],[Course Number and Name]]="","",CEILING((CourseSummary3[[#This Row],[Estimated Costs to Summer Sessions]])/300,1))</f>
        <v/>
      </c>
      <c r="J26" s="111">
        <f>IF(CourseSummary3[[#This Row],[Course Number and Name]]="",0,300*CourseSummary3[[#This Row],[Estimated Paid Credits]]-CourseSummary3[[#This Row],[Estimated Costs to Summer Sessions]])</f>
        <v>0</v>
      </c>
    </row>
    <row r="27" spans="1:10" x14ac:dyDescent="0.25">
      <c r="A27" s="10">
        <f t="shared" si="0"/>
        <v>24</v>
      </c>
      <c r="B27" s="48" t="str">
        <f>IF(INDEX(CourseList[Course Number &amp; Name],CourseSummary3[[#This Row],[Index]],1)=0,"",INDEX(CourseList[Course Number &amp; Name],CourseSummary3[[#This Row],[Index]],1))</f>
        <v/>
      </c>
      <c r="C27" s="4" t="str">
        <f>IF(INDEX(CourseList[Course Number &amp; Name],CourseSummary3[[#This Row],[Index]],1)=0,"",INDEX(CourseList[Instruction Mode],CourseSummary3[[#This Row],[Index]],1))</f>
        <v/>
      </c>
      <c r="D27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27" s="4">
        <f>IF(INDEX(CourseList[Course Number &amp; Name],CourseSummary3[[#This Row],[Index]],1)=0,0,INDEX(CourseList[Est Enrollment],CourseSummary3[[#This Row],[Index]],1))</f>
        <v>0</v>
      </c>
      <c r="F27" s="4">
        <f>IF(INDEX(CourseList[Course Number &amp; Name],CourseSummary3[[#This Row],[Index]],1)=0,0,INDEX(CourseList[Credit Range],CourseSummary3[[#This Row],[Index]],1))</f>
        <v>0</v>
      </c>
      <c r="G27" s="4">
        <f>IF(INDEX(CourseList[Course Number &amp; Name],CourseSummary3[[#This Row],[Index]],1)=0,0,INDEX(CourseList[Est Paid Credits],CourseSummary3[[#This Row],[Index]],1))</f>
        <v>0</v>
      </c>
      <c r="H27" s="118">
        <f>300*CourseSummary3[[#This Row],[Estimated Paid Credits]]</f>
        <v>0</v>
      </c>
      <c r="I27" s="104" t="str">
        <f>IF(CourseSummary3[[#This Row],[Course Number and Name]]="","",CEILING((CourseSummary3[[#This Row],[Estimated Costs to Summer Sessions]])/300,1))</f>
        <v/>
      </c>
      <c r="J27" s="111">
        <f>IF(CourseSummary3[[#This Row],[Course Number and Name]]="",0,300*CourseSummary3[[#This Row],[Estimated Paid Credits]]-CourseSummary3[[#This Row],[Estimated Costs to Summer Sessions]])</f>
        <v>0</v>
      </c>
    </row>
    <row r="28" spans="1:10" x14ac:dyDescent="0.25">
      <c r="A28" s="10">
        <f t="shared" si="0"/>
        <v>25</v>
      </c>
      <c r="B28" s="48" t="str">
        <f>IF(INDEX(CourseList[Course Number &amp; Name],CourseSummary3[[#This Row],[Index]],1)=0,"",INDEX(CourseList[Course Number &amp; Name],CourseSummary3[[#This Row],[Index]],1))</f>
        <v/>
      </c>
      <c r="C28" s="4" t="str">
        <f>IF(INDEX(CourseList[Course Number &amp; Name],CourseSummary3[[#This Row],[Index]],1)=0,"",INDEX(CourseList[Instruction Mode],CourseSummary3[[#This Row],[Index]],1))</f>
        <v/>
      </c>
      <c r="D28" s="111">
        <f>IF(CourseSummary3[[#This Row],[Course Number and Name]]&lt;&gt;"",SUMIFS(Instructor[Salary w/ 20% Fringe],Instructor[Funding],"Summer sessions",Instructor[Course],CourseSummary3[[#This Row],[Course Number and Name]])+SUMIFS(Reader[Cost w/ 5% Fringe],Reader[Funding],"Summer sessions",Reader[Course],CourseSummary3[[#This Row],[Course Number and Name]])+SUMIFS(SE[Cost],SE[Funding],"Summer sessions",SE[Course],CourseSummary3[[#This Row],[Course Number and Name]])+SUMIFS(TA[Salary w/ 5% Fringe],TA[Funding],"Summer sessions",TA[Course],CourseSummary3[[#This Row],[Course Number and Name]])+SUMIFS(Student[Cost w/ 5% Fringe],Student[Funding],"Summer sessions",Student[Course],CourseSummary3[[#This Row],[Course Number and Name]])+SUMIFS(Other[Salary w/ 20% Fringe],Other[Funding],"Summer sessions",Other[Course],CourseSummary3[[#This Row],[Course Number and Name]]),0)</f>
        <v>0</v>
      </c>
      <c r="E28" s="4">
        <f>IF(INDEX(CourseList[Course Number &amp; Name],CourseSummary3[[#This Row],[Index]],1)=0,0,INDEX(CourseList[Est Enrollment],CourseSummary3[[#This Row],[Index]],1))</f>
        <v>0</v>
      </c>
      <c r="F28" s="4">
        <f>IF(INDEX(CourseList[Course Number &amp; Name],CourseSummary3[[#This Row],[Index]],1)=0,0,INDEX(CourseList[Credit Range],CourseSummary3[[#This Row],[Index]],1))</f>
        <v>0</v>
      </c>
      <c r="G28" s="4">
        <f>IF(INDEX(CourseList[Course Number &amp; Name],CourseSummary3[[#This Row],[Index]],1)=0,0,INDEX(CourseList[Est Paid Credits],CourseSummary3[[#This Row],[Index]],1))</f>
        <v>0</v>
      </c>
      <c r="H28" s="118">
        <f>300*CourseSummary3[[#This Row],[Estimated Paid Credits]]</f>
        <v>0</v>
      </c>
      <c r="I28" s="104" t="str">
        <f>IF(CourseSummary3[[#This Row],[Course Number and Name]]="","",CEILING((CourseSummary3[[#This Row],[Estimated Costs to Summer Sessions]])/300,1))</f>
        <v/>
      </c>
      <c r="J28" s="111">
        <f>IF(CourseSummary3[[#This Row],[Course Number and Name]]="",0,300*CourseSummary3[[#This Row],[Estimated Paid Credits]]-CourseSummary3[[#This Row],[Estimated Costs to Summer Sessions]])</f>
        <v>0</v>
      </c>
    </row>
    <row r="29" spans="1:10" x14ac:dyDescent="0.25">
      <c r="A29" s="59"/>
      <c r="B29" s="60" t="str">
        <f>IF(NoCourse&lt;&gt;0,"Summer expenses with no courses listed","")</f>
        <v/>
      </c>
      <c r="C29" s="61" t="str">
        <f>IF(INDEX(CourseList[Course Number &amp; Name],CourseSummary3[[#This Row],[Index]],1)=0,"",INDEX(CourseList[Instruction Mode],CourseSummary3[[#This Row],[Index]],1))</f>
        <v/>
      </c>
      <c r="D29" s="111">
        <f>NoCourse</f>
        <v>0</v>
      </c>
      <c r="E29" s="61">
        <f>IF(INDEX(CourseList[Course Number &amp; Name],CourseSummary3[[#This Row],[Index]],1)=0,0,INDEX(CourseList[Est Enrollment],CourseSummary3[[#This Row],[Index]],1))</f>
        <v>0</v>
      </c>
      <c r="F29" s="61">
        <f>IF(INDEX(CourseList[Course Number &amp; Name],CourseSummary3[[#This Row],[Index]],1)=0,0,INDEX(CourseList[Credit Range],CourseSummary3[[#This Row],[Index]],1))</f>
        <v>0</v>
      </c>
      <c r="G29" s="61">
        <f>IF(INDEX(CourseList[Course Number &amp; Name],CourseSummary3[[#This Row],[Index]],1)=0,0,INDEX(CourseList[Est Paid Credits],CourseSummary3[[#This Row],[Index]],1))</f>
        <v>0</v>
      </c>
      <c r="H29" s="119">
        <f>300*CourseSummary3[[#This Row],[Estimated Paid Credits]]</f>
        <v>0</v>
      </c>
      <c r="I29" s="104" t="str">
        <f>IF(CourseSummary3[[#This Row],[Course Number and Name]]="","",CEILING((CourseSummary3[[#This Row],[Estimated Costs to Summer Sessions]])/300,1))</f>
        <v/>
      </c>
      <c r="J29" s="111">
        <f>IF(CourseSummary3[[#This Row],[Course Number and Name]]="",0,300*CourseSummary3[[#This Row],[Estimated Paid Credits]]-CourseSummary3[[#This Row],[Estimated Costs to Summer Sessions]])</f>
        <v>0</v>
      </c>
    </row>
    <row r="30" spans="1:10" ht="15" thickBot="1" x14ac:dyDescent="0.3">
      <c r="A30" s="50"/>
      <c r="B30" s="45" t="str">
        <f>IF(Subsidy&gt;0,"2023 Subsidy","")</f>
        <v/>
      </c>
      <c r="C30" s="45"/>
      <c r="D30" s="112">
        <f t="shared" ref="D30:H30" si="1">IF(Subsidy&gt;0,"",0)</f>
        <v>0</v>
      </c>
      <c r="E30" s="45">
        <f t="shared" si="1"/>
        <v>0</v>
      </c>
      <c r="F30" s="45">
        <f t="shared" si="1"/>
        <v>0</v>
      </c>
      <c r="G30" s="45">
        <f t="shared" si="1"/>
        <v>0</v>
      </c>
      <c r="H30" s="112">
        <f t="shared" si="1"/>
        <v>0</v>
      </c>
      <c r="I30" s="109"/>
      <c r="J30" s="112">
        <f>IF(CourseSummary3[[#This Row],[Course Number and Name]]="",0,Subsidy)</f>
        <v>0</v>
      </c>
    </row>
    <row r="31" spans="1:10" x14ac:dyDescent="0.25">
      <c r="A31" s="36"/>
      <c r="B31" s="37" t="s">
        <v>46</v>
      </c>
      <c r="C31" s="37"/>
      <c r="D31" s="121">
        <f>SUBTOTAL(109,CourseSummary3[Estimated Costs to Summer Sessions])</f>
        <v>94375.683333333334</v>
      </c>
      <c r="E31" s="37"/>
      <c r="F31" s="37"/>
      <c r="G31" s="37">
        <f>SUBTOTAL(109,CourseSummary3[Estimated Paid Credits])</f>
        <v>477</v>
      </c>
      <c r="H31" s="120">
        <f>SUBTOTAL(109,CourseSummary3[Estimated Revenue])</f>
        <v>143100</v>
      </c>
      <c r="I31" s="110">
        <f>SUBTOTAL(109,CourseSummary3[Paid Credits Needed for Positive Course Contribution])</f>
        <v>318</v>
      </c>
      <c r="J31" s="116">
        <f>SUBTOTAL(109,CourseSummary3[Estimated Surplus])</f>
        <v>48724.316666666666</v>
      </c>
    </row>
    <row r="32" spans="1:10" ht="30" customHeight="1" thickBot="1" x14ac:dyDescent="0.3">
      <c r="J32" s="117" t="s">
        <v>83</v>
      </c>
    </row>
  </sheetData>
  <sheetProtection sheet="1" objects="1" scenarios="1"/>
  <mergeCells count="1">
    <mergeCell ref="B1:J1"/>
  </mergeCells>
  <conditionalFormatting sqref="J4:J29">
    <cfRule type="cellIs" dxfId="51" priority="5" operator="lessThan">
      <formula>0</formula>
    </cfRule>
  </conditionalFormatting>
  <conditionalFormatting sqref="J31">
    <cfRule type="cellIs" dxfId="50" priority="1" operator="lessThan">
      <formula>0</formula>
    </cfRule>
  </conditionalFormatting>
  <pageMargins left="0.25" right="0.25" top="0.75" bottom="0.75" header="0.3" footer="0.3"/>
  <pageSetup scale="90" fitToHeight="0" orientation="landscape" r:id="rId1"/>
  <headerFooter>
    <oddFooter>&amp;L&amp;D &amp;T&amp;R&amp;Z&amp;F</oddFooter>
  </headerFooter>
  <ignoredErrors>
    <ignoredError sqref="B29:B30 D4:D30 J30 E30:H30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3F65CB4B-B135-495E-B33C-81999B53778A}">
            <xm:f>'2. Appt &amp; Expense Input'!$B$34&gt;0</xm:f>
            <x14:dxf>
              <font>
                <b val="0"/>
                <i val="0"/>
              </font>
              <fill>
                <patternFill>
                  <bgColor theme="8" tint="0.59996337778862885"/>
                </patternFill>
              </fill>
            </x14:dxf>
          </x14:cfRule>
          <xm:sqref>B30:J30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13"/>
  <sheetViews>
    <sheetView showGridLines="0" zoomScaleNormal="100" zoomScaleSheetLayoutView="100" workbookViewId="0">
      <selection activeCell="A12" sqref="A12"/>
    </sheetView>
  </sheetViews>
  <sheetFormatPr defaultRowHeight="12.75" x14ac:dyDescent="0.2"/>
  <cols>
    <col min="1" max="1" width="134.5703125" style="3" customWidth="1"/>
    <col min="2" max="4" width="9.140625" style="3"/>
    <col min="5" max="7" width="9.140625" style="3" customWidth="1"/>
    <col min="8" max="16384" width="9.140625" style="3"/>
  </cols>
  <sheetData>
    <row r="1" spans="1:1" s="19" customFormat="1" ht="23.25" x14ac:dyDescent="0.35">
      <c r="A1" s="47" t="s">
        <v>173</v>
      </c>
    </row>
    <row r="2" spans="1:1" s="19" customFormat="1" ht="18" thickBot="1" x14ac:dyDescent="0.25">
      <c r="A2" s="46" t="str">
        <f>CONCATENATE(IF(NameEntry="","Enter department/program name on 'Course Input' worksheet",NameEntry))</f>
        <v>Jurassic Studies</v>
      </c>
    </row>
    <row r="3" spans="1:1" s="19" customFormat="1" ht="13.5" thickTop="1" x14ac:dyDescent="0.2">
      <c r="A3" s="28" t="s">
        <v>65</v>
      </c>
    </row>
    <row r="4" spans="1:1" s="19" customFormat="1" x14ac:dyDescent="0.2">
      <c r="A4" s="4"/>
    </row>
    <row r="5" spans="1:1" ht="45" customHeight="1" x14ac:dyDescent="0.2">
      <c r="A5" s="122" t="s">
        <v>47</v>
      </c>
    </row>
    <row r="6" spans="1:1" ht="45" customHeight="1" x14ac:dyDescent="0.2">
      <c r="A6" s="122"/>
    </row>
    <row r="7" spans="1:1" ht="45" customHeight="1" x14ac:dyDescent="0.2">
      <c r="A7" s="122"/>
    </row>
    <row r="8" spans="1:1" ht="45" customHeight="1" x14ac:dyDescent="0.2">
      <c r="A8" s="122"/>
    </row>
    <row r="9" spans="1:1" ht="45" customHeight="1" x14ac:dyDescent="0.2">
      <c r="A9" s="122"/>
    </row>
    <row r="10" spans="1:1" ht="45" customHeight="1" x14ac:dyDescent="0.2">
      <c r="A10" s="122"/>
    </row>
    <row r="11" spans="1:1" ht="45" customHeight="1" x14ac:dyDescent="0.2">
      <c r="A11" s="123"/>
    </row>
    <row r="12" spans="1:1" ht="45" customHeight="1" x14ac:dyDescent="0.2">
      <c r="A12" s="123"/>
    </row>
    <row r="13" spans="1:1" ht="45" customHeight="1" x14ac:dyDescent="0.2">
      <c r="A13" s="123"/>
    </row>
  </sheetData>
  <pageMargins left="0.25" right="0.25" top="0.75" bottom="0.75" header="0.3" footer="0.3"/>
  <pageSetup fitToHeight="0" orientation="landscape" horizontalDpi="4294967295" verticalDpi="4294967295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15"/>
  <sheetViews>
    <sheetView showGridLines="0" showRowColHeaders="0" zoomScaleNormal="100" zoomScaleSheetLayoutView="100" workbookViewId="0">
      <selection activeCell="C17" sqref="C17"/>
    </sheetView>
  </sheetViews>
  <sheetFormatPr defaultRowHeight="12.75" x14ac:dyDescent="0.2"/>
  <cols>
    <col min="1" max="2" width="14.28515625" style="19" customWidth="1"/>
    <col min="3" max="3" width="18.5703125" style="22" bestFit="1" customWidth="1"/>
    <col min="4" max="4" width="11.5703125" style="147" bestFit="1" customWidth="1"/>
    <col min="5" max="5" width="19.28515625" style="19" bestFit="1" customWidth="1"/>
    <col min="6" max="6" width="26.7109375" style="150" hidden="1" customWidth="1"/>
    <col min="7" max="7" width="8" style="26" bestFit="1" customWidth="1"/>
    <col min="8" max="16384" width="9.140625" style="19"/>
  </cols>
  <sheetData>
    <row r="1" spans="1:7" ht="23.25" x14ac:dyDescent="0.35">
      <c r="A1" s="18" t="s">
        <v>81</v>
      </c>
      <c r="B1" s="18"/>
      <c r="C1" s="18"/>
      <c r="D1" s="18"/>
      <c r="E1" s="18"/>
      <c r="F1" s="18"/>
      <c r="G1" s="18"/>
    </row>
    <row r="2" spans="1:7" ht="10.5" customHeight="1" x14ac:dyDescent="0.35">
      <c r="A2" s="124"/>
      <c r="B2" s="124"/>
      <c r="C2" s="18"/>
      <c r="D2" s="124"/>
      <c r="E2" s="124"/>
      <c r="F2" s="145"/>
      <c r="G2" s="124"/>
    </row>
    <row r="3" spans="1:7" s="20" customFormat="1" x14ac:dyDescent="0.2">
      <c r="A3" s="138" t="s">
        <v>48</v>
      </c>
      <c r="B3" s="138" t="s">
        <v>49</v>
      </c>
      <c r="C3" s="139" t="s">
        <v>50</v>
      </c>
      <c r="D3" s="139" t="s">
        <v>51</v>
      </c>
      <c r="E3" s="140" t="s">
        <v>82</v>
      </c>
      <c r="F3" s="146" t="s">
        <v>77</v>
      </c>
    </row>
    <row r="4" spans="1:7" x14ac:dyDescent="0.2">
      <c r="A4" s="129">
        <v>45075</v>
      </c>
      <c r="B4" s="129">
        <v>45081</v>
      </c>
      <c r="C4" s="130" t="s">
        <v>175</v>
      </c>
      <c r="D4" s="131">
        <v>1</v>
      </c>
      <c r="E4" s="132" t="s">
        <v>87</v>
      </c>
      <c r="F4" s="148">
        <f>(SessionCodes[[#This Row],['# of weeks]]/4)/9</f>
        <v>2.7777777777777776E-2</v>
      </c>
      <c r="G4" s="19"/>
    </row>
    <row r="5" spans="1:7" x14ac:dyDescent="0.2">
      <c r="A5" s="129">
        <v>45075</v>
      </c>
      <c r="B5" s="129">
        <v>45144</v>
      </c>
      <c r="C5" s="130" t="s">
        <v>184</v>
      </c>
      <c r="D5" s="131">
        <v>10</v>
      </c>
      <c r="E5" s="133">
        <v>0.4</v>
      </c>
      <c r="F5" s="148">
        <f>(SessionCodes[[#This Row],['# of weeks]]/4)/9</f>
        <v>0.27777777777777779</v>
      </c>
    </row>
    <row r="6" spans="1:7" x14ac:dyDescent="0.2">
      <c r="A6" s="129">
        <v>45075</v>
      </c>
      <c r="B6" s="129">
        <v>45151</v>
      </c>
      <c r="C6" s="130" t="s">
        <v>185</v>
      </c>
      <c r="D6" s="131">
        <v>11</v>
      </c>
      <c r="E6" s="133">
        <v>0.36399999999999999</v>
      </c>
      <c r="F6" s="148">
        <f>(SessionCodes[[#This Row],['# of weeks]]/4)/9</f>
        <v>0.30555555555555558</v>
      </c>
    </row>
    <row r="7" spans="1:7" x14ac:dyDescent="0.2">
      <c r="A7" s="129">
        <v>45075</v>
      </c>
      <c r="B7" s="129">
        <v>45158</v>
      </c>
      <c r="C7" s="130" t="s">
        <v>186</v>
      </c>
      <c r="D7" s="131">
        <v>12</v>
      </c>
      <c r="E7" s="133">
        <v>0.33300000000000002</v>
      </c>
      <c r="F7" s="148">
        <f>(SessionCodes[[#This Row],['# of weeks]]/4)/9</f>
        <v>0.33333333333333331</v>
      </c>
    </row>
    <row r="8" spans="1:7" x14ac:dyDescent="0.2">
      <c r="A8" s="129">
        <v>45075</v>
      </c>
      <c r="B8" s="129">
        <v>45088</v>
      </c>
      <c r="C8" s="130" t="s">
        <v>176</v>
      </c>
      <c r="D8" s="131">
        <v>2</v>
      </c>
      <c r="E8" s="132" t="s">
        <v>87</v>
      </c>
      <c r="F8" s="148">
        <f>(SessionCodes[[#This Row],['# of weeks]]/4)/9</f>
        <v>5.5555555555555552E-2</v>
      </c>
    </row>
    <row r="9" spans="1:7" x14ac:dyDescent="0.2">
      <c r="A9" s="129">
        <v>45075</v>
      </c>
      <c r="B9" s="129">
        <v>45095</v>
      </c>
      <c r="C9" s="130" t="s">
        <v>177</v>
      </c>
      <c r="D9" s="131">
        <v>3</v>
      </c>
      <c r="E9" s="132" t="s">
        <v>87</v>
      </c>
      <c r="F9" s="148">
        <f>(SessionCodes[[#This Row],['# of weeks]]/4)/9</f>
        <v>8.3333333333333329E-2</v>
      </c>
    </row>
    <row r="10" spans="1:7" x14ac:dyDescent="0.2">
      <c r="A10" s="129">
        <v>45075</v>
      </c>
      <c r="B10" s="129">
        <v>45102</v>
      </c>
      <c r="C10" s="130" t="s">
        <v>178</v>
      </c>
      <c r="D10" s="131">
        <v>4</v>
      </c>
      <c r="E10" s="133">
        <v>1</v>
      </c>
      <c r="F10" s="148">
        <f>(SessionCodes[[#This Row],['# of weeks]]/4)/9</f>
        <v>0.1111111111111111</v>
      </c>
    </row>
    <row r="11" spans="1:7" x14ac:dyDescent="0.2">
      <c r="A11" s="129">
        <v>45075</v>
      </c>
      <c r="B11" s="129">
        <v>45109</v>
      </c>
      <c r="C11" s="130" t="s">
        <v>179</v>
      </c>
      <c r="D11" s="131">
        <v>5</v>
      </c>
      <c r="E11" s="133">
        <v>0.8</v>
      </c>
      <c r="F11" s="148">
        <f>(SessionCodes[[#This Row],['# of weeks]]/4)/9</f>
        <v>0.1388888888888889</v>
      </c>
    </row>
    <row r="12" spans="1:7" x14ac:dyDescent="0.2">
      <c r="A12" s="129">
        <v>45075</v>
      </c>
      <c r="B12" s="129">
        <v>45116</v>
      </c>
      <c r="C12" s="130" t="s">
        <v>180</v>
      </c>
      <c r="D12" s="131">
        <v>6</v>
      </c>
      <c r="E12" s="133">
        <v>0.66700000000000004</v>
      </c>
      <c r="F12" s="148">
        <f>(SessionCodes[[#This Row],['# of weeks]]/4)/9</f>
        <v>0.16666666666666666</v>
      </c>
    </row>
    <row r="13" spans="1:7" x14ac:dyDescent="0.2">
      <c r="A13" s="129">
        <v>45075</v>
      </c>
      <c r="B13" s="129">
        <v>45123</v>
      </c>
      <c r="C13" s="130" t="s">
        <v>181</v>
      </c>
      <c r="D13" s="131">
        <v>7</v>
      </c>
      <c r="E13" s="133">
        <v>0.57099999999999995</v>
      </c>
      <c r="F13" s="148">
        <f>(SessionCodes[[#This Row],['# of weeks]]/4)/9</f>
        <v>0.19444444444444445</v>
      </c>
    </row>
    <row r="14" spans="1:7" x14ac:dyDescent="0.2">
      <c r="A14" s="129">
        <v>45075</v>
      </c>
      <c r="B14" s="129">
        <v>45130</v>
      </c>
      <c r="C14" s="130" t="s">
        <v>182</v>
      </c>
      <c r="D14" s="131">
        <v>8</v>
      </c>
      <c r="E14" s="133">
        <v>0.5</v>
      </c>
      <c r="F14" s="148">
        <f>(SessionCodes[[#This Row],['# of weeks]]/4)/9</f>
        <v>0.22222222222222221</v>
      </c>
    </row>
    <row r="15" spans="1:7" x14ac:dyDescent="0.2">
      <c r="A15" s="129">
        <v>45075</v>
      </c>
      <c r="B15" s="129">
        <v>45137</v>
      </c>
      <c r="C15" s="130" t="s">
        <v>183</v>
      </c>
      <c r="D15" s="131">
        <v>9</v>
      </c>
      <c r="E15" s="133">
        <v>0.44400000000000001</v>
      </c>
      <c r="F15" s="148">
        <f>(SessionCodes[[#This Row],['# of weeks]]/4)/9</f>
        <v>0.25</v>
      </c>
    </row>
    <row r="16" spans="1:7" x14ac:dyDescent="0.2">
      <c r="A16" s="129">
        <v>45075</v>
      </c>
      <c r="B16" s="129">
        <v>45081</v>
      </c>
      <c r="C16" s="130" t="s">
        <v>90</v>
      </c>
      <c r="D16" s="131">
        <v>1</v>
      </c>
      <c r="E16" s="132" t="s">
        <v>87</v>
      </c>
      <c r="F16" s="149">
        <f>(SessionCodes[[#This Row],['# of weeks]]/4)/9</f>
        <v>2.7777777777777776E-2</v>
      </c>
    </row>
    <row r="17" spans="1:6" x14ac:dyDescent="0.2">
      <c r="A17" s="129">
        <v>45075</v>
      </c>
      <c r="B17" s="129">
        <v>45088</v>
      </c>
      <c r="C17" s="130" t="s">
        <v>91</v>
      </c>
      <c r="D17" s="131">
        <v>2</v>
      </c>
      <c r="E17" s="132" t="s">
        <v>87</v>
      </c>
      <c r="F17" s="149">
        <f>(SessionCodes[[#This Row],['# of weeks]]/4)/9</f>
        <v>5.5555555555555552E-2</v>
      </c>
    </row>
    <row r="18" spans="1:6" x14ac:dyDescent="0.2">
      <c r="A18" s="129">
        <v>45075</v>
      </c>
      <c r="B18" s="129">
        <v>45095</v>
      </c>
      <c r="C18" s="130" t="s">
        <v>52</v>
      </c>
      <c r="D18" s="131">
        <v>3</v>
      </c>
      <c r="E18" s="132" t="s">
        <v>87</v>
      </c>
      <c r="F18" s="149">
        <f>(SessionCodes[[#This Row],['# of weeks]]/4)/9</f>
        <v>8.3333333333333329E-2</v>
      </c>
    </row>
    <row r="19" spans="1:6" x14ac:dyDescent="0.2">
      <c r="A19" s="129">
        <v>45075</v>
      </c>
      <c r="B19" s="129">
        <v>45102</v>
      </c>
      <c r="C19" s="130" t="s">
        <v>92</v>
      </c>
      <c r="D19" s="131">
        <v>4</v>
      </c>
      <c r="E19" s="133">
        <v>1</v>
      </c>
      <c r="F19" s="149">
        <f>(SessionCodes[[#This Row],['# of weeks]]/4)/9</f>
        <v>0.1111111111111111</v>
      </c>
    </row>
    <row r="20" spans="1:6" x14ac:dyDescent="0.2">
      <c r="A20" s="129">
        <v>45075</v>
      </c>
      <c r="B20" s="129">
        <v>45109</v>
      </c>
      <c r="C20" s="130" t="s">
        <v>93</v>
      </c>
      <c r="D20" s="131">
        <v>5</v>
      </c>
      <c r="E20" s="133">
        <v>0.8</v>
      </c>
      <c r="F20" s="149">
        <f>(SessionCodes[[#This Row],['# of weeks]]/4)/9</f>
        <v>0.1388888888888889</v>
      </c>
    </row>
    <row r="21" spans="1:6" x14ac:dyDescent="0.2">
      <c r="A21" s="129">
        <v>45075</v>
      </c>
      <c r="B21" s="129">
        <v>45116</v>
      </c>
      <c r="C21" s="130" t="s">
        <v>94</v>
      </c>
      <c r="D21" s="131">
        <v>6</v>
      </c>
      <c r="E21" s="133">
        <v>0.66700000000000004</v>
      </c>
      <c r="F21" s="149">
        <f>(SessionCodes[[#This Row],['# of weeks]]/4)/9</f>
        <v>0.16666666666666666</v>
      </c>
    </row>
    <row r="22" spans="1:6" x14ac:dyDescent="0.2">
      <c r="A22" s="129">
        <v>45075</v>
      </c>
      <c r="B22" s="129">
        <v>45123</v>
      </c>
      <c r="C22" s="130" t="s">
        <v>95</v>
      </c>
      <c r="D22" s="131">
        <v>7</v>
      </c>
      <c r="E22" s="133">
        <v>0.57099999999999995</v>
      </c>
      <c r="F22" s="149">
        <f>(SessionCodes[[#This Row],['# of weeks]]/4)/9</f>
        <v>0.19444444444444445</v>
      </c>
    </row>
    <row r="23" spans="1:6" x14ac:dyDescent="0.2">
      <c r="A23" s="129">
        <v>45075</v>
      </c>
      <c r="B23" s="129">
        <v>45130</v>
      </c>
      <c r="C23" s="130" t="s">
        <v>96</v>
      </c>
      <c r="D23" s="131">
        <v>8</v>
      </c>
      <c r="E23" s="133">
        <v>0.5</v>
      </c>
      <c r="F23" s="149">
        <f>(SessionCodes[[#This Row],['# of weeks]]/4)/9</f>
        <v>0.22222222222222221</v>
      </c>
    </row>
    <row r="24" spans="1:6" x14ac:dyDescent="0.2">
      <c r="A24" s="129">
        <v>45075</v>
      </c>
      <c r="B24" s="129">
        <v>45137</v>
      </c>
      <c r="C24" s="130" t="s">
        <v>97</v>
      </c>
      <c r="D24" s="131">
        <v>9</v>
      </c>
      <c r="E24" s="133">
        <v>0.44400000000000001</v>
      </c>
      <c r="F24" s="149">
        <f>(SessionCodes[[#This Row],['# of weeks]]/4)/9</f>
        <v>0.25</v>
      </c>
    </row>
    <row r="25" spans="1:6" x14ac:dyDescent="0.2">
      <c r="A25" s="129">
        <v>45075</v>
      </c>
      <c r="B25" s="129">
        <v>45144</v>
      </c>
      <c r="C25" s="130" t="s">
        <v>98</v>
      </c>
      <c r="D25" s="131">
        <v>10</v>
      </c>
      <c r="E25" s="133">
        <v>0.4</v>
      </c>
      <c r="F25" s="149">
        <f>(SessionCodes[[#This Row],['# of weeks]]/4)/9</f>
        <v>0.27777777777777779</v>
      </c>
    </row>
    <row r="26" spans="1:6" x14ac:dyDescent="0.2">
      <c r="A26" s="129">
        <v>45075</v>
      </c>
      <c r="B26" s="129">
        <v>45151</v>
      </c>
      <c r="C26" s="130" t="s">
        <v>53</v>
      </c>
      <c r="D26" s="131">
        <v>11</v>
      </c>
      <c r="E26" s="133">
        <v>0.36399999999999999</v>
      </c>
      <c r="F26" s="149">
        <f>(SessionCodes[[#This Row],['# of weeks]]/4)/9</f>
        <v>0.30555555555555558</v>
      </c>
    </row>
    <row r="27" spans="1:6" x14ac:dyDescent="0.2">
      <c r="A27" s="129">
        <v>45075</v>
      </c>
      <c r="B27" s="129">
        <v>45158</v>
      </c>
      <c r="C27" s="130" t="s">
        <v>99</v>
      </c>
      <c r="D27" s="131">
        <v>12</v>
      </c>
      <c r="E27" s="133">
        <v>0.33300000000000002</v>
      </c>
      <c r="F27" s="149">
        <f>(SessionCodes[[#This Row],['# of weeks]]/4)/9</f>
        <v>0.33333333333333331</v>
      </c>
    </row>
    <row r="28" spans="1:6" x14ac:dyDescent="0.2">
      <c r="A28" s="129">
        <v>45075</v>
      </c>
      <c r="B28" s="129">
        <v>45165</v>
      </c>
      <c r="C28" s="130" t="s">
        <v>100</v>
      </c>
      <c r="D28" s="131">
        <v>13</v>
      </c>
      <c r="E28" s="133">
        <v>0.308</v>
      </c>
      <c r="F28" s="149">
        <f>(SessionCodes[[#This Row],['# of weeks]]/4)/9</f>
        <v>0.3611111111111111</v>
      </c>
    </row>
    <row r="29" spans="1:6" x14ac:dyDescent="0.2">
      <c r="A29" s="129">
        <v>45082</v>
      </c>
      <c r="B29" s="129">
        <v>45088</v>
      </c>
      <c r="C29" s="130" t="s">
        <v>101</v>
      </c>
      <c r="D29" s="131">
        <v>1</v>
      </c>
      <c r="E29" s="132" t="s">
        <v>87</v>
      </c>
      <c r="F29" s="149">
        <f>(SessionCodes[[#This Row],['# of weeks]]/4)/9</f>
        <v>2.7777777777777776E-2</v>
      </c>
    </row>
    <row r="30" spans="1:6" x14ac:dyDescent="0.2">
      <c r="A30" s="129">
        <v>45082</v>
      </c>
      <c r="B30" s="129">
        <v>45095</v>
      </c>
      <c r="C30" s="130" t="s">
        <v>102</v>
      </c>
      <c r="D30" s="131">
        <v>2</v>
      </c>
      <c r="E30" s="132" t="s">
        <v>87</v>
      </c>
      <c r="F30" s="149">
        <f>(SessionCodes[[#This Row],['# of weeks]]/4)/9</f>
        <v>5.5555555555555552E-2</v>
      </c>
    </row>
    <row r="31" spans="1:6" x14ac:dyDescent="0.2">
      <c r="A31" s="129">
        <v>45082</v>
      </c>
      <c r="B31" s="129">
        <v>45102</v>
      </c>
      <c r="C31" s="130" t="s">
        <v>103</v>
      </c>
      <c r="D31" s="131">
        <v>3</v>
      </c>
      <c r="E31" s="132" t="s">
        <v>87</v>
      </c>
      <c r="F31" s="149">
        <f>(SessionCodes[[#This Row],['# of weeks]]/4)/9</f>
        <v>8.3333333333333329E-2</v>
      </c>
    </row>
    <row r="32" spans="1:6" x14ac:dyDescent="0.2">
      <c r="A32" s="129">
        <v>45082</v>
      </c>
      <c r="B32" s="129">
        <v>45109</v>
      </c>
      <c r="C32" s="130" t="s">
        <v>104</v>
      </c>
      <c r="D32" s="131">
        <v>4</v>
      </c>
      <c r="E32" s="133">
        <v>1</v>
      </c>
      <c r="F32" s="149">
        <f>(SessionCodes[[#This Row],['# of weeks]]/4)/9</f>
        <v>0.1111111111111111</v>
      </c>
    </row>
    <row r="33" spans="1:6" x14ac:dyDescent="0.2">
      <c r="A33" s="129">
        <v>45082</v>
      </c>
      <c r="B33" s="129">
        <v>45116</v>
      </c>
      <c r="C33" s="130" t="s">
        <v>105</v>
      </c>
      <c r="D33" s="131">
        <v>5</v>
      </c>
      <c r="E33" s="133">
        <v>0.8</v>
      </c>
      <c r="F33" s="149">
        <f>(SessionCodes[[#This Row],['# of weeks]]/4)/9</f>
        <v>0.1388888888888889</v>
      </c>
    </row>
    <row r="34" spans="1:6" x14ac:dyDescent="0.2">
      <c r="A34" s="129">
        <v>45082</v>
      </c>
      <c r="B34" s="129">
        <v>45123</v>
      </c>
      <c r="C34" s="130" t="s">
        <v>106</v>
      </c>
      <c r="D34" s="131">
        <v>6</v>
      </c>
      <c r="E34" s="133">
        <v>0.66700000000000004</v>
      </c>
      <c r="F34" s="149">
        <f>(SessionCodes[[#This Row],['# of weeks]]/4)/9</f>
        <v>0.16666666666666666</v>
      </c>
    </row>
    <row r="35" spans="1:6" x14ac:dyDescent="0.2">
      <c r="A35" s="129">
        <v>45082</v>
      </c>
      <c r="B35" s="129">
        <v>45130</v>
      </c>
      <c r="C35" s="130" t="s">
        <v>107</v>
      </c>
      <c r="D35" s="131">
        <v>7</v>
      </c>
      <c r="E35" s="133">
        <v>0.57099999999999995</v>
      </c>
      <c r="F35" s="149">
        <f>(SessionCodes[[#This Row],['# of weeks]]/4)/9</f>
        <v>0.19444444444444445</v>
      </c>
    </row>
    <row r="36" spans="1:6" x14ac:dyDescent="0.2">
      <c r="A36" s="129">
        <v>45082</v>
      </c>
      <c r="B36" s="129">
        <v>45137</v>
      </c>
      <c r="C36" s="130" t="s">
        <v>108</v>
      </c>
      <c r="D36" s="131">
        <v>8</v>
      </c>
      <c r="E36" s="133">
        <v>0.5</v>
      </c>
      <c r="F36" s="149">
        <f>(SessionCodes[[#This Row],['# of weeks]]/4)/9</f>
        <v>0.22222222222222221</v>
      </c>
    </row>
    <row r="37" spans="1:6" x14ac:dyDescent="0.2">
      <c r="A37" s="129">
        <v>45082</v>
      </c>
      <c r="B37" s="129">
        <v>45144</v>
      </c>
      <c r="C37" s="130" t="s">
        <v>109</v>
      </c>
      <c r="D37" s="131">
        <v>9</v>
      </c>
      <c r="E37" s="133">
        <v>0.44400000000000001</v>
      </c>
      <c r="F37" s="149">
        <f>(SessionCodes[[#This Row],['# of weeks]]/4)/9</f>
        <v>0.25</v>
      </c>
    </row>
    <row r="38" spans="1:6" x14ac:dyDescent="0.2">
      <c r="A38" s="129">
        <v>45082</v>
      </c>
      <c r="B38" s="129">
        <v>45151</v>
      </c>
      <c r="C38" s="130" t="s">
        <v>110</v>
      </c>
      <c r="D38" s="131">
        <v>10</v>
      </c>
      <c r="E38" s="133">
        <v>0.4</v>
      </c>
      <c r="F38" s="149">
        <f>(SessionCodes[[#This Row],['# of weeks]]/4)/9</f>
        <v>0.27777777777777779</v>
      </c>
    </row>
    <row r="39" spans="1:6" x14ac:dyDescent="0.2">
      <c r="A39" s="129">
        <v>45082</v>
      </c>
      <c r="B39" s="129">
        <v>45158</v>
      </c>
      <c r="C39" s="130" t="s">
        <v>111</v>
      </c>
      <c r="D39" s="131">
        <v>11</v>
      </c>
      <c r="E39" s="133">
        <v>0.36399999999999999</v>
      </c>
      <c r="F39" s="149">
        <f>(SessionCodes[[#This Row],['# of weeks]]/4)/9</f>
        <v>0.30555555555555558</v>
      </c>
    </row>
    <row r="40" spans="1:6" x14ac:dyDescent="0.2">
      <c r="A40" s="129">
        <v>45082</v>
      </c>
      <c r="B40" s="129">
        <v>45165</v>
      </c>
      <c r="C40" s="130" t="s">
        <v>112</v>
      </c>
      <c r="D40" s="131">
        <v>12</v>
      </c>
      <c r="E40" s="133">
        <v>0.33300000000000002</v>
      </c>
      <c r="F40" s="149">
        <f>(SessionCodes[[#This Row],['# of weeks]]/4)/9</f>
        <v>0.33333333333333331</v>
      </c>
    </row>
    <row r="41" spans="1:6" x14ac:dyDescent="0.2">
      <c r="A41" s="129">
        <v>45089</v>
      </c>
      <c r="B41" s="129">
        <v>45095</v>
      </c>
      <c r="C41" s="130" t="s">
        <v>113</v>
      </c>
      <c r="D41" s="131">
        <v>1</v>
      </c>
      <c r="E41" s="132" t="s">
        <v>87</v>
      </c>
      <c r="F41" s="149">
        <f>(SessionCodes[[#This Row],['# of weeks]]/4)/9</f>
        <v>2.7777777777777776E-2</v>
      </c>
    </row>
    <row r="42" spans="1:6" x14ac:dyDescent="0.2">
      <c r="A42" s="129">
        <v>45089</v>
      </c>
      <c r="B42" s="129">
        <v>45102</v>
      </c>
      <c r="C42" s="130" t="s">
        <v>114</v>
      </c>
      <c r="D42" s="131">
        <v>2</v>
      </c>
      <c r="E42" s="132" t="s">
        <v>87</v>
      </c>
      <c r="F42" s="149">
        <f>(SessionCodes[[#This Row],['# of weeks]]/4)/9</f>
        <v>5.5555555555555552E-2</v>
      </c>
    </row>
    <row r="43" spans="1:6" x14ac:dyDescent="0.2">
      <c r="A43" s="129">
        <v>45089</v>
      </c>
      <c r="B43" s="129">
        <v>45109</v>
      </c>
      <c r="C43" s="130" t="s">
        <v>115</v>
      </c>
      <c r="D43" s="131">
        <v>3</v>
      </c>
      <c r="E43" s="132" t="s">
        <v>87</v>
      </c>
      <c r="F43" s="149">
        <f>(SessionCodes[[#This Row],['# of weeks]]/4)/9</f>
        <v>8.3333333333333329E-2</v>
      </c>
    </row>
    <row r="44" spans="1:6" x14ac:dyDescent="0.2">
      <c r="A44" s="129">
        <v>45089</v>
      </c>
      <c r="B44" s="129">
        <v>45116</v>
      </c>
      <c r="C44" s="130" t="s">
        <v>116</v>
      </c>
      <c r="D44" s="131">
        <v>4</v>
      </c>
      <c r="E44" s="133">
        <v>1</v>
      </c>
      <c r="F44" s="149">
        <f>(SessionCodes[[#This Row],['# of weeks]]/4)/9</f>
        <v>0.1111111111111111</v>
      </c>
    </row>
    <row r="45" spans="1:6" x14ac:dyDescent="0.2">
      <c r="A45" s="129">
        <v>45089</v>
      </c>
      <c r="B45" s="129">
        <v>45123</v>
      </c>
      <c r="C45" s="130" t="s">
        <v>117</v>
      </c>
      <c r="D45" s="131">
        <v>5</v>
      </c>
      <c r="E45" s="133">
        <v>0.8</v>
      </c>
      <c r="F45" s="149">
        <f>(SessionCodes[[#This Row],['# of weeks]]/4)/9</f>
        <v>0.1388888888888889</v>
      </c>
    </row>
    <row r="46" spans="1:6" x14ac:dyDescent="0.2">
      <c r="A46" s="129">
        <v>45089</v>
      </c>
      <c r="B46" s="129">
        <v>45130</v>
      </c>
      <c r="C46" s="130" t="s">
        <v>118</v>
      </c>
      <c r="D46" s="131">
        <v>6</v>
      </c>
      <c r="E46" s="133">
        <v>0.66700000000000004</v>
      </c>
      <c r="F46" s="149">
        <f>(SessionCodes[[#This Row],['# of weeks]]/4)/9</f>
        <v>0.16666666666666666</v>
      </c>
    </row>
    <row r="47" spans="1:6" x14ac:dyDescent="0.2">
      <c r="A47" s="129">
        <v>45089</v>
      </c>
      <c r="B47" s="129">
        <v>45137</v>
      </c>
      <c r="C47" s="130" t="s">
        <v>119</v>
      </c>
      <c r="D47" s="131">
        <v>7</v>
      </c>
      <c r="E47" s="133">
        <v>0.57099999999999995</v>
      </c>
      <c r="F47" s="149">
        <f>(SessionCodes[[#This Row],['# of weeks]]/4)/9</f>
        <v>0.19444444444444445</v>
      </c>
    </row>
    <row r="48" spans="1:6" x14ac:dyDescent="0.2">
      <c r="A48" s="129">
        <v>45089</v>
      </c>
      <c r="B48" s="129">
        <v>45144</v>
      </c>
      <c r="C48" s="130" t="s">
        <v>120</v>
      </c>
      <c r="D48" s="131">
        <v>8</v>
      </c>
      <c r="E48" s="133">
        <v>0.5</v>
      </c>
      <c r="F48" s="149">
        <f>(SessionCodes[[#This Row],['# of weeks]]/4)/9</f>
        <v>0.22222222222222221</v>
      </c>
    </row>
    <row r="49" spans="1:6" x14ac:dyDescent="0.2">
      <c r="A49" s="129">
        <v>45089</v>
      </c>
      <c r="B49" s="129">
        <v>45151</v>
      </c>
      <c r="C49" s="130" t="s">
        <v>121</v>
      </c>
      <c r="D49" s="131">
        <v>9</v>
      </c>
      <c r="E49" s="133">
        <v>0.44400000000000001</v>
      </c>
      <c r="F49" s="149">
        <f>(SessionCodes[[#This Row],['# of weeks]]/4)/9</f>
        <v>0.25</v>
      </c>
    </row>
    <row r="50" spans="1:6" x14ac:dyDescent="0.2">
      <c r="A50" s="129">
        <v>45089</v>
      </c>
      <c r="B50" s="129">
        <v>45158</v>
      </c>
      <c r="C50" s="130" t="s">
        <v>122</v>
      </c>
      <c r="D50" s="131">
        <v>10</v>
      </c>
      <c r="E50" s="133">
        <v>0.4</v>
      </c>
      <c r="F50" s="149">
        <f>(SessionCodes[[#This Row],['# of weeks]]/4)/9</f>
        <v>0.27777777777777779</v>
      </c>
    </row>
    <row r="51" spans="1:6" x14ac:dyDescent="0.2">
      <c r="A51" s="129">
        <v>45089</v>
      </c>
      <c r="B51" s="129">
        <v>45165</v>
      </c>
      <c r="C51" s="130" t="s">
        <v>54</v>
      </c>
      <c r="D51" s="131">
        <v>11</v>
      </c>
      <c r="E51" s="133">
        <v>0.36399999999999999</v>
      </c>
      <c r="F51" s="149">
        <f>(SessionCodes[[#This Row],['# of weeks]]/4)/9</f>
        <v>0.30555555555555558</v>
      </c>
    </row>
    <row r="52" spans="1:6" x14ac:dyDescent="0.2">
      <c r="A52" s="129">
        <v>45096</v>
      </c>
      <c r="B52" s="129">
        <v>45102</v>
      </c>
      <c r="C52" s="130" t="s">
        <v>123</v>
      </c>
      <c r="D52" s="131">
        <v>1</v>
      </c>
      <c r="E52" s="132" t="s">
        <v>87</v>
      </c>
      <c r="F52" s="149">
        <f>(SessionCodes[[#This Row],['# of weeks]]/4)/9</f>
        <v>2.7777777777777776E-2</v>
      </c>
    </row>
    <row r="53" spans="1:6" x14ac:dyDescent="0.2">
      <c r="A53" s="129">
        <v>45096</v>
      </c>
      <c r="B53" s="129">
        <v>45109</v>
      </c>
      <c r="C53" s="130" t="s">
        <v>124</v>
      </c>
      <c r="D53" s="131">
        <v>2</v>
      </c>
      <c r="E53" s="132" t="s">
        <v>87</v>
      </c>
      <c r="F53" s="149">
        <f>(SessionCodes[[#This Row],['# of weeks]]/4)/9</f>
        <v>5.5555555555555552E-2</v>
      </c>
    </row>
    <row r="54" spans="1:6" x14ac:dyDescent="0.2">
      <c r="A54" s="129">
        <v>45096</v>
      </c>
      <c r="B54" s="129">
        <v>45116</v>
      </c>
      <c r="C54" s="130" t="s">
        <v>88</v>
      </c>
      <c r="D54" s="131">
        <v>3</v>
      </c>
      <c r="E54" s="132" t="s">
        <v>87</v>
      </c>
      <c r="F54" s="149">
        <f>(SessionCodes[[#This Row],['# of weeks]]/4)/9</f>
        <v>8.3333333333333329E-2</v>
      </c>
    </row>
    <row r="55" spans="1:6" x14ac:dyDescent="0.2">
      <c r="A55" s="134">
        <v>45096</v>
      </c>
      <c r="B55" s="134">
        <v>45123</v>
      </c>
      <c r="C55" s="135" t="s">
        <v>125</v>
      </c>
      <c r="D55" s="136">
        <v>4</v>
      </c>
      <c r="E55" s="137">
        <v>1</v>
      </c>
      <c r="F55" s="149">
        <f>(SessionCodes[[#This Row],['# of weeks]]/4)/9</f>
        <v>0.1111111111111111</v>
      </c>
    </row>
    <row r="56" spans="1:6" x14ac:dyDescent="0.2">
      <c r="A56" s="129">
        <v>45096</v>
      </c>
      <c r="B56" s="129">
        <v>45130</v>
      </c>
      <c r="C56" s="130" t="s">
        <v>126</v>
      </c>
      <c r="D56" s="131">
        <v>5</v>
      </c>
      <c r="E56" s="133">
        <v>0.8</v>
      </c>
      <c r="F56" s="149">
        <f>(SessionCodes[[#This Row],['# of weeks]]/4)/9</f>
        <v>0.1388888888888889</v>
      </c>
    </row>
    <row r="57" spans="1:6" x14ac:dyDescent="0.2">
      <c r="A57" s="129">
        <v>45096</v>
      </c>
      <c r="B57" s="129">
        <v>45137</v>
      </c>
      <c r="C57" s="130" t="s">
        <v>127</v>
      </c>
      <c r="D57" s="131">
        <v>6</v>
      </c>
      <c r="E57" s="133">
        <v>0.66700000000000004</v>
      </c>
      <c r="F57" s="149">
        <f>(SessionCodes[[#This Row],['# of weeks]]/4)/9</f>
        <v>0.16666666666666666</v>
      </c>
    </row>
    <row r="58" spans="1:6" x14ac:dyDescent="0.2">
      <c r="A58" s="129">
        <v>45096</v>
      </c>
      <c r="B58" s="129">
        <v>45144</v>
      </c>
      <c r="C58" s="130" t="s">
        <v>128</v>
      </c>
      <c r="D58" s="131">
        <v>7</v>
      </c>
      <c r="E58" s="133">
        <v>0.57099999999999995</v>
      </c>
      <c r="F58" s="149">
        <f>(SessionCodes[[#This Row],['# of weeks]]/4)/9</f>
        <v>0.19444444444444445</v>
      </c>
    </row>
    <row r="59" spans="1:6" x14ac:dyDescent="0.2">
      <c r="A59" s="134">
        <v>45096</v>
      </c>
      <c r="B59" s="134">
        <v>45151</v>
      </c>
      <c r="C59" s="135" t="s">
        <v>28</v>
      </c>
      <c r="D59" s="136">
        <v>8</v>
      </c>
      <c r="E59" s="137">
        <v>0.5</v>
      </c>
      <c r="F59" s="149">
        <f>(SessionCodes[[#This Row],['# of weeks]]/4)/9</f>
        <v>0.22222222222222221</v>
      </c>
    </row>
    <row r="60" spans="1:6" x14ac:dyDescent="0.2">
      <c r="A60" s="129">
        <v>45096</v>
      </c>
      <c r="B60" s="129">
        <v>45158</v>
      </c>
      <c r="C60" s="130" t="s">
        <v>129</v>
      </c>
      <c r="D60" s="131">
        <v>9</v>
      </c>
      <c r="E60" s="133">
        <v>0.44400000000000001</v>
      </c>
      <c r="F60" s="149">
        <f>(SessionCodes[[#This Row],['# of weeks]]/4)/9</f>
        <v>0.25</v>
      </c>
    </row>
    <row r="61" spans="1:6" x14ac:dyDescent="0.2">
      <c r="A61" s="129">
        <v>45096</v>
      </c>
      <c r="B61" s="129">
        <v>45165</v>
      </c>
      <c r="C61" s="130" t="s">
        <v>130</v>
      </c>
      <c r="D61" s="131">
        <v>10</v>
      </c>
      <c r="E61" s="133">
        <v>0.4</v>
      </c>
      <c r="F61" s="149">
        <f>(SessionCodes[[#This Row],['# of weeks]]/4)/9</f>
        <v>0.27777777777777779</v>
      </c>
    </row>
    <row r="62" spans="1:6" x14ac:dyDescent="0.2">
      <c r="A62" s="129">
        <v>45103</v>
      </c>
      <c r="B62" s="129">
        <v>45109</v>
      </c>
      <c r="C62" s="130" t="s">
        <v>131</v>
      </c>
      <c r="D62" s="131">
        <v>1</v>
      </c>
      <c r="E62" s="132" t="s">
        <v>87</v>
      </c>
      <c r="F62" s="149">
        <f>(SessionCodes[[#This Row],['# of weeks]]/4)/9</f>
        <v>2.7777777777777776E-2</v>
      </c>
    </row>
    <row r="63" spans="1:6" x14ac:dyDescent="0.2">
      <c r="A63" s="129">
        <v>45103</v>
      </c>
      <c r="B63" s="129">
        <v>45116</v>
      </c>
      <c r="C63" s="130" t="s">
        <v>132</v>
      </c>
      <c r="D63" s="131">
        <v>2</v>
      </c>
      <c r="E63" s="132" t="s">
        <v>87</v>
      </c>
      <c r="F63" s="149">
        <f>(SessionCodes[[#This Row],['# of weeks]]/4)/9</f>
        <v>5.5555555555555552E-2</v>
      </c>
    </row>
    <row r="64" spans="1:6" x14ac:dyDescent="0.2">
      <c r="A64" s="129">
        <v>45103</v>
      </c>
      <c r="B64" s="129">
        <v>45123</v>
      </c>
      <c r="C64" s="130" t="s">
        <v>133</v>
      </c>
      <c r="D64" s="131">
        <v>3</v>
      </c>
      <c r="E64" s="132" t="s">
        <v>87</v>
      </c>
      <c r="F64" s="149">
        <f>(SessionCodes[[#This Row],['# of weeks]]/4)/9</f>
        <v>8.3333333333333329E-2</v>
      </c>
    </row>
    <row r="65" spans="1:6" x14ac:dyDescent="0.2">
      <c r="A65" s="129">
        <v>45103</v>
      </c>
      <c r="B65" s="129">
        <v>45130</v>
      </c>
      <c r="C65" s="130" t="s">
        <v>134</v>
      </c>
      <c r="D65" s="131">
        <v>4</v>
      </c>
      <c r="E65" s="133">
        <v>1</v>
      </c>
      <c r="F65" s="149">
        <f>(SessionCodes[[#This Row],['# of weeks]]/4)/9</f>
        <v>0.1111111111111111</v>
      </c>
    </row>
    <row r="66" spans="1:6" x14ac:dyDescent="0.2">
      <c r="A66" s="129">
        <v>45103</v>
      </c>
      <c r="B66" s="129">
        <v>45137</v>
      </c>
      <c r="C66" s="130" t="s">
        <v>89</v>
      </c>
      <c r="D66" s="131">
        <v>5</v>
      </c>
      <c r="E66" s="133">
        <v>0.8</v>
      </c>
      <c r="F66" s="149">
        <f>(SessionCodes[[#This Row],['# of weeks]]/4)/9</f>
        <v>0.1388888888888889</v>
      </c>
    </row>
    <row r="67" spans="1:6" x14ac:dyDescent="0.2">
      <c r="A67" s="129">
        <v>45103</v>
      </c>
      <c r="B67" s="129">
        <v>45144</v>
      </c>
      <c r="C67" s="130" t="s">
        <v>135</v>
      </c>
      <c r="D67" s="131">
        <v>6</v>
      </c>
      <c r="E67" s="133">
        <v>0.66700000000000004</v>
      </c>
      <c r="F67" s="149">
        <f>(SessionCodes[[#This Row],['# of weeks]]/4)/9</f>
        <v>0.16666666666666666</v>
      </c>
    </row>
    <row r="68" spans="1:6" x14ac:dyDescent="0.2">
      <c r="A68" s="129">
        <v>45103</v>
      </c>
      <c r="B68" s="129">
        <v>45151</v>
      </c>
      <c r="C68" s="130" t="s">
        <v>136</v>
      </c>
      <c r="D68" s="131">
        <v>7</v>
      </c>
      <c r="E68" s="133">
        <v>0.57099999999999995</v>
      </c>
      <c r="F68" s="149">
        <f>(SessionCodes[[#This Row],['# of weeks]]/4)/9</f>
        <v>0.19444444444444445</v>
      </c>
    </row>
    <row r="69" spans="1:6" x14ac:dyDescent="0.2">
      <c r="A69" s="129">
        <v>45103</v>
      </c>
      <c r="B69" s="129">
        <v>45158</v>
      </c>
      <c r="C69" s="130" t="s">
        <v>137</v>
      </c>
      <c r="D69" s="131">
        <v>8</v>
      </c>
      <c r="E69" s="133">
        <v>0.5</v>
      </c>
      <c r="F69" s="149">
        <f>(SessionCodes[[#This Row],['# of weeks]]/4)/9</f>
        <v>0.22222222222222221</v>
      </c>
    </row>
    <row r="70" spans="1:6" x14ac:dyDescent="0.2">
      <c r="A70" s="129">
        <v>45103</v>
      </c>
      <c r="B70" s="129">
        <v>45165</v>
      </c>
      <c r="C70" s="130" t="s">
        <v>138</v>
      </c>
      <c r="D70" s="131">
        <v>9</v>
      </c>
      <c r="E70" s="133">
        <v>0.44400000000000001</v>
      </c>
      <c r="F70" s="149">
        <f>(SessionCodes[[#This Row],['# of weeks]]/4)/9</f>
        <v>0.25</v>
      </c>
    </row>
    <row r="71" spans="1:6" x14ac:dyDescent="0.2">
      <c r="A71" s="129">
        <v>45110</v>
      </c>
      <c r="B71" s="129">
        <v>45116</v>
      </c>
      <c r="C71" s="130" t="s">
        <v>139</v>
      </c>
      <c r="D71" s="131">
        <v>1</v>
      </c>
      <c r="E71" s="132" t="s">
        <v>87</v>
      </c>
      <c r="F71" s="149">
        <f>(SessionCodes[[#This Row],['# of weeks]]/4)/9</f>
        <v>2.7777777777777776E-2</v>
      </c>
    </row>
    <row r="72" spans="1:6" x14ac:dyDescent="0.2">
      <c r="A72" s="129">
        <v>45110</v>
      </c>
      <c r="B72" s="129">
        <v>45123</v>
      </c>
      <c r="C72" s="130" t="s">
        <v>140</v>
      </c>
      <c r="D72" s="131">
        <v>2</v>
      </c>
      <c r="E72" s="132" t="s">
        <v>87</v>
      </c>
      <c r="F72" s="149">
        <f>(SessionCodes[[#This Row],['# of weeks]]/4)/9</f>
        <v>5.5555555555555552E-2</v>
      </c>
    </row>
    <row r="73" spans="1:6" x14ac:dyDescent="0.2">
      <c r="A73" s="129">
        <v>45110</v>
      </c>
      <c r="B73" s="129">
        <v>45130</v>
      </c>
      <c r="C73" s="130" t="s">
        <v>141</v>
      </c>
      <c r="D73" s="131">
        <v>3</v>
      </c>
      <c r="E73" s="132" t="s">
        <v>87</v>
      </c>
      <c r="F73" s="149">
        <f>(SessionCodes[[#This Row],['# of weeks]]/4)/9</f>
        <v>8.3333333333333329E-2</v>
      </c>
    </row>
    <row r="74" spans="1:6" x14ac:dyDescent="0.2">
      <c r="A74" s="129">
        <v>45110</v>
      </c>
      <c r="B74" s="129">
        <v>45137</v>
      </c>
      <c r="C74" s="130" t="s">
        <v>142</v>
      </c>
      <c r="D74" s="131">
        <v>4</v>
      </c>
      <c r="E74" s="133">
        <v>1</v>
      </c>
      <c r="F74" s="149">
        <f>(SessionCodes[[#This Row],['# of weeks]]/4)/9</f>
        <v>0.1111111111111111</v>
      </c>
    </row>
    <row r="75" spans="1:6" x14ac:dyDescent="0.2">
      <c r="A75" s="129">
        <v>45110</v>
      </c>
      <c r="B75" s="129">
        <v>45144</v>
      </c>
      <c r="C75" s="130" t="s">
        <v>143</v>
      </c>
      <c r="D75" s="131">
        <v>5</v>
      </c>
      <c r="E75" s="133">
        <v>0.8</v>
      </c>
      <c r="F75" s="149">
        <f>(SessionCodes[[#This Row],['# of weeks]]/4)/9</f>
        <v>0.1388888888888889</v>
      </c>
    </row>
    <row r="76" spans="1:6" x14ac:dyDescent="0.2">
      <c r="A76" s="129">
        <v>45110</v>
      </c>
      <c r="B76" s="129">
        <v>45151</v>
      </c>
      <c r="C76" s="130" t="s">
        <v>144</v>
      </c>
      <c r="D76" s="131">
        <v>6</v>
      </c>
      <c r="E76" s="133">
        <v>0.66700000000000004</v>
      </c>
      <c r="F76" s="149">
        <f>(SessionCodes[[#This Row],['# of weeks]]/4)/9</f>
        <v>0.16666666666666666</v>
      </c>
    </row>
    <row r="77" spans="1:6" x14ac:dyDescent="0.2">
      <c r="A77" s="129">
        <v>45110</v>
      </c>
      <c r="B77" s="129">
        <v>45158</v>
      </c>
      <c r="C77" s="130" t="s">
        <v>145</v>
      </c>
      <c r="D77" s="131">
        <v>7</v>
      </c>
      <c r="E77" s="133">
        <v>0.57099999999999995</v>
      </c>
      <c r="F77" s="149">
        <f>(SessionCodes[[#This Row],['# of weeks]]/4)/9</f>
        <v>0.19444444444444445</v>
      </c>
    </row>
    <row r="78" spans="1:6" x14ac:dyDescent="0.2">
      <c r="A78" s="129">
        <v>45110</v>
      </c>
      <c r="B78" s="129">
        <v>45165</v>
      </c>
      <c r="C78" s="130" t="s">
        <v>146</v>
      </c>
      <c r="D78" s="131">
        <v>8</v>
      </c>
      <c r="E78" s="133">
        <v>0.5</v>
      </c>
      <c r="F78" s="149">
        <f>(SessionCodes[[#This Row],['# of weeks]]/4)/9</f>
        <v>0.22222222222222221</v>
      </c>
    </row>
    <row r="79" spans="1:6" x14ac:dyDescent="0.2">
      <c r="A79" s="129">
        <v>45117</v>
      </c>
      <c r="B79" s="129">
        <v>45123</v>
      </c>
      <c r="C79" s="130" t="s">
        <v>147</v>
      </c>
      <c r="D79" s="131">
        <v>1</v>
      </c>
      <c r="E79" s="132" t="s">
        <v>87</v>
      </c>
      <c r="F79" s="149">
        <f>(SessionCodes[[#This Row],['# of weeks]]/4)/9</f>
        <v>2.7777777777777776E-2</v>
      </c>
    </row>
    <row r="80" spans="1:6" x14ac:dyDescent="0.2">
      <c r="A80" s="129">
        <v>45117</v>
      </c>
      <c r="B80" s="129">
        <v>45130</v>
      </c>
      <c r="C80" s="130" t="s">
        <v>148</v>
      </c>
      <c r="D80" s="131">
        <v>2</v>
      </c>
      <c r="E80" s="132" t="s">
        <v>87</v>
      </c>
      <c r="F80" s="149">
        <f>(SessionCodes[[#This Row],['# of weeks]]/4)/9</f>
        <v>5.5555555555555552E-2</v>
      </c>
    </row>
    <row r="81" spans="1:6" x14ac:dyDescent="0.2">
      <c r="A81" s="129">
        <v>45117</v>
      </c>
      <c r="B81" s="129">
        <v>45137</v>
      </c>
      <c r="C81" s="130" t="s">
        <v>149</v>
      </c>
      <c r="D81" s="131">
        <v>3</v>
      </c>
      <c r="E81" s="132" t="s">
        <v>87</v>
      </c>
      <c r="F81" s="149">
        <f>(SessionCodes[[#This Row],['# of weeks]]/4)/9</f>
        <v>8.3333333333333329E-2</v>
      </c>
    </row>
    <row r="82" spans="1:6" x14ac:dyDescent="0.2">
      <c r="A82" s="129">
        <v>45117</v>
      </c>
      <c r="B82" s="129">
        <v>45144</v>
      </c>
      <c r="C82" s="130" t="s">
        <v>150</v>
      </c>
      <c r="D82" s="131">
        <v>4</v>
      </c>
      <c r="E82" s="133">
        <v>1</v>
      </c>
      <c r="F82" s="149">
        <f>(SessionCodes[[#This Row],['# of weeks]]/4)/9</f>
        <v>0.1111111111111111</v>
      </c>
    </row>
    <row r="83" spans="1:6" x14ac:dyDescent="0.2">
      <c r="A83" s="129">
        <v>45117</v>
      </c>
      <c r="B83" s="129">
        <v>45151</v>
      </c>
      <c r="C83" s="130" t="s">
        <v>151</v>
      </c>
      <c r="D83" s="131">
        <v>5</v>
      </c>
      <c r="E83" s="133">
        <v>0.8</v>
      </c>
      <c r="F83" s="149">
        <f>(SessionCodes[[#This Row],['# of weeks]]/4)/9</f>
        <v>0.1388888888888889</v>
      </c>
    </row>
    <row r="84" spans="1:6" x14ac:dyDescent="0.2">
      <c r="A84" s="129">
        <v>45117</v>
      </c>
      <c r="B84" s="129">
        <v>45158</v>
      </c>
      <c r="C84" s="130" t="s">
        <v>152</v>
      </c>
      <c r="D84" s="131">
        <v>6</v>
      </c>
      <c r="E84" s="133">
        <v>0.66700000000000004</v>
      </c>
      <c r="F84" s="149">
        <f>(SessionCodes[[#This Row],['# of weeks]]/4)/9</f>
        <v>0.16666666666666666</v>
      </c>
    </row>
    <row r="85" spans="1:6" x14ac:dyDescent="0.2">
      <c r="A85" s="129">
        <v>45117</v>
      </c>
      <c r="B85" s="129">
        <v>45165</v>
      </c>
      <c r="C85" s="130" t="s">
        <v>55</v>
      </c>
      <c r="D85" s="131">
        <v>7</v>
      </c>
      <c r="E85" s="133">
        <v>0.57099999999999995</v>
      </c>
      <c r="F85" s="149">
        <f>(SessionCodes[[#This Row],['# of weeks]]/4)/9</f>
        <v>0.19444444444444445</v>
      </c>
    </row>
    <row r="86" spans="1:6" x14ac:dyDescent="0.2">
      <c r="A86" s="129">
        <v>45124</v>
      </c>
      <c r="B86" s="129">
        <v>45130</v>
      </c>
      <c r="C86" s="130" t="s">
        <v>153</v>
      </c>
      <c r="D86" s="131">
        <v>1</v>
      </c>
      <c r="E86" s="132" t="s">
        <v>87</v>
      </c>
      <c r="F86" s="149">
        <f>(SessionCodes[[#This Row],['# of weeks]]/4)/9</f>
        <v>2.7777777777777776E-2</v>
      </c>
    </row>
    <row r="87" spans="1:6" x14ac:dyDescent="0.2">
      <c r="A87" s="129">
        <v>45124</v>
      </c>
      <c r="B87" s="129">
        <v>45137</v>
      </c>
      <c r="C87" s="130" t="s">
        <v>154</v>
      </c>
      <c r="D87" s="131">
        <v>2</v>
      </c>
      <c r="E87" s="132" t="s">
        <v>87</v>
      </c>
      <c r="F87" s="149">
        <f>(SessionCodes[[#This Row],['# of weeks]]/4)/9</f>
        <v>5.5555555555555552E-2</v>
      </c>
    </row>
    <row r="88" spans="1:6" x14ac:dyDescent="0.2">
      <c r="A88" s="129">
        <v>45124</v>
      </c>
      <c r="B88" s="129">
        <v>45144</v>
      </c>
      <c r="C88" s="130" t="s">
        <v>155</v>
      </c>
      <c r="D88" s="131">
        <v>3</v>
      </c>
      <c r="E88" s="132" t="s">
        <v>87</v>
      </c>
      <c r="F88" s="149">
        <f>(SessionCodes[[#This Row],['# of weeks]]/4)/9</f>
        <v>8.3333333333333329E-2</v>
      </c>
    </row>
    <row r="89" spans="1:6" x14ac:dyDescent="0.2">
      <c r="A89" s="134">
        <v>45124</v>
      </c>
      <c r="B89" s="134">
        <v>45151</v>
      </c>
      <c r="C89" s="135" t="s">
        <v>156</v>
      </c>
      <c r="D89" s="136">
        <v>4</v>
      </c>
      <c r="E89" s="137">
        <v>1</v>
      </c>
      <c r="F89" s="149">
        <f>(SessionCodes[[#This Row],['# of weeks]]/4)/9</f>
        <v>0.1111111111111111</v>
      </c>
    </row>
    <row r="90" spans="1:6" x14ac:dyDescent="0.2">
      <c r="A90" s="129">
        <v>45124</v>
      </c>
      <c r="B90" s="129">
        <v>45158</v>
      </c>
      <c r="C90" s="130" t="s">
        <v>157</v>
      </c>
      <c r="D90" s="131">
        <v>5</v>
      </c>
      <c r="E90" s="133">
        <v>0.8</v>
      </c>
      <c r="F90" s="149">
        <f>(SessionCodes[[#This Row],['# of weeks]]/4)/9</f>
        <v>0.1388888888888889</v>
      </c>
    </row>
    <row r="91" spans="1:6" x14ac:dyDescent="0.2">
      <c r="A91" s="129">
        <v>45124</v>
      </c>
      <c r="B91" s="129">
        <v>45165</v>
      </c>
      <c r="C91" s="130" t="s">
        <v>158</v>
      </c>
      <c r="D91" s="131">
        <v>6</v>
      </c>
      <c r="E91" s="133">
        <v>0.66700000000000004</v>
      </c>
      <c r="F91" s="149">
        <f>(SessionCodes[[#This Row],['# of weeks]]/4)/9</f>
        <v>0.16666666666666666</v>
      </c>
    </row>
    <row r="92" spans="1:6" x14ac:dyDescent="0.2">
      <c r="A92" s="129">
        <v>45131</v>
      </c>
      <c r="B92" s="129">
        <v>45137</v>
      </c>
      <c r="C92" s="130" t="s">
        <v>159</v>
      </c>
      <c r="D92" s="131">
        <v>1</v>
      </c>
      <c r="E92" s="132" t="s">
        <v>87</v>
      </c>
      <c r="F92" s="149">
        <f>(SessionCodes[[#This Row],['# of weeks]]/4)/9</f>
        <v>2.7777777777777776E-2</v>
      </c>
    </row>
    <row r="93" spans="1:6" x14ac:dyDescent="0.2">
      <c r="A93" s="129">
        <v>45131</v>
      </c>
      <c r="B93" s="129">
        <v>45144</v>
      </c>
      <c r="C93" s="130" t="s">
        <v>160</v>
      </c>
      <c r="D93" s="131">
        <v>2</v>
      </c>
      <c r="E93" s="132" t="s">
        <v>87</v>
      </c>
      <c r="F93" s="149">
        <f>(SessionCodes[[#This Row],['# of weeks]]/4)/9</f>
        <v>5.5555555555555552E-2</v>
      </c>
    </row>
    <row r="94" spans="1:6" x14ac:dyDescent="0.2">
      <c r="A94" s="129">
        <v>45131</v>
      </c>
      <c r="B94" s="129">
        <v>45151</v>
      </c>
      <c r="C94" s="130" t="s">
        <v>161</v>
      </c>
      <c r="D94" s="131">
        <v>3</v>
      </c>
      <c r="E94" s="132" t="s">
        <v>87</v>
      </c>
      <c r="F94" s="149">
        <f>(SessionCodes[[#This Row],['# of weeks]]/4)/9</f>
        <v>8.3333333333333329E-2</v>
      </c>
    </row>
    <row r="95" spans="1:6" x14ac:dyDescent="0.2">
      <c r="A95" s="129">
        <v>45131</v>
      </c>
      <c r="B95" s="129">
        <v>45158</v>
      </c>
      <c r="C95" s="130" t="s">
        <v>162</v>
      </c>
      <c r="D95" s="131">
        <v>4</v>
      </c>
      <c r="E95" s="133">
        <v>1</v>
      </c>
      <c r="F95" s="149">
        <f>(SessionCodes[[#This Row],['# of weeks]]/4)/9</f>
        <v>0.1111111111111111</v>
      </c>
    </row>
    <row r="96" spans="1:6" x14ac:dyDescent="0.2">
      <c r="A96" s="129">
        <v>45131</v>
      </c>
      <c r="B96" s="129">
        <v>45165</v>
      </c>
      <c r="C96" s="130" t="s">
        <v>163</v>
      </c>
      <c r="D96" s="131">
        <v>5</v>
      </c>
      <c r="E96" s="133">
        <v>0.8</v>
      </c>
      <c r="F96" s="149">
        <f>(SessionCodes[[#This Row],['# of weeks]]/4)/9</f>
        <v>0.1388888888888889</v>
      </c>
    </row>
    <row r="97" spans="1:6" x14ac:dyDescent="0.2">
      <c r="A97" s="129">
        <v>45138</v>
      </c>
      <c r="B97" s="129">
        <v>45144</v>
      </c>
      <c r="C97" s="130" t="s">
        <v>164</v>
      </c>
      <c r="D97" s="131">
        <v>1</v>
      </c>
      <c r="E97" s="132" t="s">
        <v>87</v>
      </c>
      <c r="F97" s="149">
        <f>(SessionCodes[[#This Row],['# of weeks]]/4)/9</f>
        <v>2.7777777777777776E-2</v>
      </c>
    </row>
    <row r="98" spans="1:6" x14ac:dyDescent="0.2">
      <c r="A98" s="129">
        <v>45138</v>
      </c>
      <c r="B98" s="129">
        <v>45151</v>
      </c>
      <c r="C98" s="130" t="s">
        <v>165</v>
      </c>
      <c r="D98" s="131">
        <v>2</v>
      </c>
      <c r="E98" s="132" t="s">
        <v>87</v>
      </c>
      <c r="F98" s="149">
        <f>(SessionCodes[[#This Row],['# of weeks]]/4)/9</f>
        <v>5.5555555555555552E-2</v>
      </c>
    </row>
    <row r="99" spans="1:6" x14ac:dyDescent="0.2">
      <c r="A99" s="129">
        <v>45138</v>
      </c>
      <c r="B99" s="129">
        <v>45158</v>
      </c>
      <c r="C99" s="130" t="s">
        <v>166</v>
      </c>
      <c r="D99" s="131">
        <v>3</v>
      </c>
      <c r="E99" s="132" t="s">
        <v>87</v>
      </c>
      <c r="F99" s="149">
        <f>(SessionCodes[[#This Row],['# of weeks]]/4)/9</f>
        <v>8.3333333333333329E-2</v>
      </c>
    </row>
    <row r="100" spans="1:6" x14ac:dyDescent="0.2">
      <c r="A100" s="129">
        <v>45138</v>
      </c>
      <c r="B100" s="129">
        <v>45165</v>
      </c>
      <c r="C100" s="130" t="s">
        <v>167</v>
      </c>
      <c r="D100" s="131">
        <v>4</v>
      </c>
      <c r="E100" s="133">
        <v>1</v>
      </c>
      <c r="F100" s="149">
        <f>(SessionCodes[[#This Row],['# of weeks]]/4)/9</f>
        <v>0.1111111111111111</v>
      </c>
    </row>
    <row r="101" spans="1:6" x14ac:dyDescent="0.2">
      <c r="A101" s="129">
        <v>45145</v>
      </c>
      <c r="B101" s="129">
        <v>45151</v>
      </c>
      <c r="C101" s="130" t="s">
        <v>168</v>
      </c>
      <c r="D101" s="131">
        <v>1</v>
      </c>
      <c r="E101" s="132" t="s">
        <v>87</v>
      </c>
      <c r="F101" s="149">
        <f>(SessionCodes[[#This Row],['# of weeks]]/4)/9</f>
        <v>2.7777777777777776E-2</v>
      </c>
    </row>
    <row r="102" spans="1:6" x14ac:dyDescent="0.2">
      <c r="A102" s="129">
        <v>45145</v>
      </c>
      <c r="B102" s="129">
        <v>45158</v>
      </c>
      <c r="C102" s="130" t="s">
        <v>169</v>
      </c>
      <c r="D102" s="131">
        <v>2</v>
      </c>
      <c r="E102" s="132" t="s">
        <v>87</v>
      </c>
      <c r="F102" s="149">
        <f>(SessionCodes[[#This Row],['# of weeks]]/4)/9</f>
        <v>5.5555555555555552E-2</v>
      </c>
    </row>
    <row r="103" spans="1:6" x14ac:dyDescent="0.2">
      <c r="A103" s="129">
        <v>45145</v>
      </c>
      <c r="B103" s="129">
        <v>45165</v>
      </c>
      <c r="C103" s="130" t="s">
        <v>56</v>
      </c>
      <c r="D103" s="131">
        <v>3</v>
      </c>
      <c r="E103" s="132" t="s">
        <v>87</v>
      </c>
      <c r="F103" s="149">
        <f>(SessionCodes[[#This Row],['# of weeks]]/4)/9</f>
        <v>8.3333333333333329E-2</v>
      </c>
    </row>
    <row r="104" spans="1:6" x14ac:dyDescent="0.2">
      <c r="A104" s="129">
        <v>45152</v>
      </c>
      <c r="B104" s="129">
        <v>45158</v>
      </c>
      <c r="C104" s="130" t="s">
        <v>170</v>
      </c>
      <c r="D104" s="131">
        <v>1</v>
      </c>
      <c r="E104" s="132" t="s">
        <v>87</v>
      </c>
      <c r="F104" s="149">
        <f>(SessionCodes[[#This Row],['# of weeks]]/4)/9</f>
        <v>2.7777777777777776E-2</v>
      </c>
    </row>
    <row r="105" spans="1:6" x14ac:dyDescent="0.2">
      <c r="A105" s="129">
        <v>45152</v>
      </c>
      <c r="B105" s="129">
        <v>45165</v>
      </c>
      <c r="C105" s="130" t="s">
        <v>57</v>
      </c>
      <c r="D105" s="131">
        <v>2</v>
      </c>
      <c r="E105" s="132" t="s">
        <v>87</v>
      </c>
      <c r="F105" s="149">
        <f>(SessionCodes[[#This Row],['# of weeks]]/4)/9</f>
        <v>5.5555555555555552E-2</v>
      </c>
    </row>
    <row r="106" spans="1:6" x14ac:dyDescent="0.2">
      <c r="A106" s="129">
        <v>45159</v>
      </c>
      <c r="B106" s="129">
        <v>45165</v>
      </c>
      <c r="C106" s="130" t="s">
        <v>80</v>
      </c>
      <c r="D106" s="131">
        <v>1</v>
      </c>
      <c r="E106" s="132" t="s">
        <v>87</v>
      </c>
      <c r="F106" s="149">
        <f>(SessionCodes[[#This Row],['# of weeks]]/4)/9</f>
        <v>2.7777777777777776E-2</v>
      </c>
    </row>
    <row r="107" spans="1:6" x14ac:dyDescent="0.2">
      <c r="A107" s="129">
        <v>45068</v>
      </c>
      <c r="B107" s="129">
        <v>45074</v>
      </c>
      <c r="C107" s="130" t="s">
        <v>58</v>
      </c>
      <c r="D107" s="131">
        <v>1</v>
      </c>
      <c r="E107" s="132" t="s">
        <v>87</v>
      </c>
      <c r="F107" s="149">
        <f>(SessionCodes[[#This Row],['# of weeks]]/4)/9</f>
        <v>2.7777777777777776E-2</v>
      </c>
    </row>
    <row r="108" spans="1:6" x14ac:dyDescent="0.2">
      <c r="A108" s="129">
        <v>45068</v>
      </c>
      <c r="B108" s="129">
        <v>45088</v>
      </c>
      <c r="C108" s="130" t="s">
        <v>59</v>
      </c>
      <c r="D108" s="131">
        <v>3</v>
      </c>
      <c r="E108" s="132" t="s">
        <v>87</v>
      </c>
      <c r="F108" s="149">
        <f>(SessionCodes[[#This Row],['# of weeks]]/4)/9</f>
        <v>8.3333333333333329E-2</v>
      </c>
    </row>
    <row r="109" spans="1:6" x14ac:dyDescent="0.2">
      <c r="A109" s="134">
        <v>45068</v>
      </c>
      <c r="B109" s="134">
        <v>45095</v>
      </c>
      <c r="C109" s="135" t="s">
        <v>25</v>
      </c>
      <c r="D109" s="136">
        <v>4</v>
      </c>
      <c r="E109" s="137">
        <v>1</v>
      </c>
      <c r="F109" s="149">
        <f>(SessionCodes[[#This Row],['# of weeks]]/4)/9</f>
        <v>0.1111111111111111</v>
      </c>
    </row>
    <row r="110" spans="1:6" x14ac:dyDescent="0.2">
      <c r="A110" s="129">
        <v>45068</v>
      </c>
      <c r="B110" s="129">
        <v>45102</v>
      </c>
      <c r="C110" s="130" t="s">
        <v>60</v>
      </c>
      <c r="D110" s="131">
        <v>5</v>
      </c>
      <c r="E110" s="133">
        <v>0.8</v>
      </c>
      <c r="F110" s="149">
        <f>(SessionCodes[[#This Row],['# of weeks]]/4)/9</f>
        <v>0.1388888888888889</v>
      </c>
    </row>
    <row r="111" spans="1:6" x14ac:dyDescent="0.2">
      <c r="A111" s="129">
        <v>45068</v>
      </c>
      <c r="B111" s="129">
        <v>45109</v>
      </c>
      <c r="C111" s="130" t="s">
        <v>61</v>
      </c>
      <c r="D111" s="131">
        <v>6</v>
      </c>
      <c r="E111" s="133">
        <v>0.66700000000000004</v>
      </c>
      <c r="F111" s="149">
        <f>(SessionCodes[[#This Row],['# of weeks]]/4)/9</f>
        <v>0.16666666666666666</v>
      </c>
    </row>
    <row r="112" spans="1:6" x14ac:dyDescent="0.2">
      <c r="A112" s="129">
        <v>45068</v>
      </c>
      <c r="B112" s="129">
        <v>45123</v>
      </c>
      <c r="C112" s="130" t="s">
        <v>30</v>
      </c>
      <c r="D112" s="131">
        <v>8</v>
      </c>
      <c r="E112" s="133">
        <v>0.5</v>
      </c>
      <c r="F112" s="149">
        <f>(SessionCodes[[#This Row],['# of weeks]]/4)/9</f>
        <v>0.22222222222222221</v>
      </c>
    </row>
    <row r="113" spans="1:6" x14ac:dyDescent="0.2">
      <c r="A113" s="129">
        <v>45068</v>
      </c>
      <c r="B113" s="129">
        <v>45151</v>
      </c>
      <c r="C113" s="130" t="s">
        <v>62</v>
      </c>
      <c r="D113" s="131">
        <v>12</v>
      </c>
      <c r="E113" s="133">
        <v>0.33300000000000002</v>
      </c>
      <c r="F113" s="149">
        <f>(SessionCodes[[#This Row],['# of weeks]]/4)/9</f>
        <v>0.33333333333333331</v>
      </c>
    </row>
    <row r="114" spans="1:6" x14ac:dyDescent="0.2">
      <c r="A114" s="129">
        <v>45068</v>
      </c>
      <c r="B114" s="129">
        <v>45165</v>
      </c>
      <c r="C114" s="130" t="s">
        <v>63</v>
      </c>
      <c r="D114" s="131">
        <v>14</v>
      </c>
      <c r="E114" s="133">
        <v>0.28599999999999998</v>
      </c>
      <c r="F114" s="149">
        <f>(SessionCodes[[#This Row],['# of weeks]]/4)/9</f>
        <v>0.3888888888888889</v>
      </c>
    </row>
    <row r="115" spans="1:6" x14ac:dyDescent="0.2">
      <c r="A115" s="141"/>
      <c r="B115" s="142"/>
      <c r="C115" s="143"/>
      <c r="D115" s="142"/>
      <c r="E115" s="144"/>
      <c r="F115" s="148">
        <f>SUBTOTAL(109,SessionCodes[Multiplier])</f>
        <v>16.277777777777786</v>
      </c>
    </row>
  </sheetData>
  <sheetProtection selectLockedCells="1" sort="0" autoFilter="0"/>
  <conditionalFormatting sqref="A4:F102 F103 A103:E114">
    <cfRule type="expression" dxfId="18" priority="5">
      <formula>$C4="ZDD"</formula>
    </cfRule>
    <cfRule type="expression" dxfId="17" priority="6">
      <formula>$C4="DDD"</formula>
    </cfRule>
    <cfRule type="expression" dxfId="16" priority="7">
      <formula>$C4="HDD"</formula>
    </cfRule>
    <cfRule type="expression" dxfId="15" priority="8">
      <formula>$C4="DHH"</formula>
    </cfRule>
  </conditionalFormatting>
  <pageMargins left="0.25" right="0.25" top="0.75" bottom="0.75" header="0.3" footer="0.3"/>
  <pageSetup orientation="portrait" r:id="rId1"/>
  <colBreaks count="1" manualBreakCount="1">
    <brk id="6" max="1048575" man="1"/>
  </col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3E8F52D3F5AC4BB0BD92BC65AB0E03" ma:contentTypeVersion="2" ma:contentTypeDescription="Create a new document." ma:contentTypeScope="" ma:versionID="d3c69e1c3f8ac1fc8036c25196bf14ac">
  <xsd:schema xmlns:xsd="http://www.w3.org/2001/XMLSchema" xmlns:xs="http://www.w3.org/2001/XMLSchema" xmlns:p="http://schemas.microsoft.com/office/2006/metadata/properties" xmlns:ns2="f2b1bce1-d314-4583-88a7-52db4b9124da" targetNamespace="http://schemas.microsoft.com/office/2006/metadata/properties" ma:root="true" ma:fieldsID="49e8bbef4429c830d46328ad3d51e388" ns2:_="">
    <xsd:import namespace="f2b1bce1-d314-4583-88a7-52db4b9124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1bce1-d314-4583-88a7-52db4b9124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700D72-065C-493B-BD90-25D0CFA242D1}">
  <ds:schemaRefs>
    <ds:schemaRef ds:uri="f2b1bce1-d314-4583-88a7-52db4b9124d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AE8923-9840-4BDB-AE41-00F8B72997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BB2392-052C-4DE5-B6D5-66EA964F7E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b1bce1-d314-4583-88a7-52db4b9124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1. Course Input</vt:lpstr>
      <vt:lpstr>2. Appt &amp; Expense Input</vt:lpstr>
      <vt:lpstr>3. Financial Summary</vt:lpstr>
      <vt:lpstr>4. Notes</vt:lpstr>
      <vt:lpstr>5. Summer Session Codes</vt:lpstr>
      <vt:lpstr>Courses</vt:lpstr>
      <vt:lpstr>'1. Course Input'!DeptContact</vt:lpstr>
      <vt:lpstr>'1. Course Input'!DeptName</vt:lpstr>
      <vt:lpstr>NameEntry</vt:lpstr>
      <vt:lpstr>NoCourse</vt:lpstr>
      <vt:lpstr>'1. Course Input'!Print_Area</vt:lpstr>
      <vt:lpstr>'2. Appt &amp; Expense Input'!Print_Area</vt:lpstr>
      <vt:lpstr>'3. Financial Summary'!Print_Area</vt:lpstr>
      <vt:lpstr>'4. Notes'!Print_Area</vt:lpstr>
      <vt:lpstr>'5. Summer Session Codes'!Print_Area</vt:lpstr>
      <vt:lpstr>Subsidy</vt:lpstr>
      <vt:lpstr>'1. Course Input'!Summerchair</vt:lpstr>
      <vt:lpstr>Surplus</vt:lpstr>
    </vt:vector>
  </TitlesOfParts>
  <Manager/>
  <Company>UW-Madison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Mahr</dc:creator>
  <cp:keywords/>
  <dc:description/>
  <cp:lastModifiedBy>Amanda Mahr</cp:lastModifiedBy>
  <cp:revision/>
  <cp:lastPrinted>2022-09-23T20:05:04Z</cp:lastPrinted>
  <dcterms:created xsi:type="dcterms:W3CDTF">2015-08-27T20:13:47Z</dcterms:created>
  <dcterms:modified xsi:type="dcterms:W3CDTF">2022-09-26T16:41:55Z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0x010100B83E8F52D3F5AC4BB0BD92BC65AB0E03</vt:lpwstr>
  </property>
</Properties>
</file>